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aulpark/Desktop/"/>
    </mc:Choice>
  </mc:AlternateContent>
  <bookViews>
    <workbookView xWindow="0" yWindow="460" windowWidth="24000" windowHeight="13580" tabRatio="870" activeTab="3"/>
  </bookViews>
  <sheets>
    <sheet name="Cover Page" sheetId="4" r:id="rId1"/>
    <sheet name="Revisions" sheetId="5" r:id="rId2"/>
    <sheet name="Post PSR Work" sheetId="8" r:id="rId3"/>
    <sheet name="Public Budgets" sheetId="7" r:id="rId4"/>
    <sheet name="Downlink (UHF)" sheetId="2" r:id="rId5"/>
    <sheet name="Uplink (VHF)" sheetId="3" r:id="rId6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3" l="1"/>
  <c r="C17" i="2"/>
  <c r="D33" i="7"/>
  <c r="K33" i="7"/>
  <c r="C43" i="3"/>
  <c r="K34" i="7"/>
  <c r="C47" i="3"/>
  <c r="C43" i="2"/>
  <c r="D34" i="7"/>
  <c r="C47" i="2"/>
  <c r="C41" i="3"/>
  <c r="K32" i="7"/>
  <c r="C25" i="2"/>
  <c r="C33" i="2"/>
  <c r="C35" i="2"/>
  <c r="C31" i="2"/>
  <c r="C28" i="2"/>
  <c r="C36" i="2"/>
  <c r="D25" i="7"/>
  <c r="C23" i="3"/>
  <c r="C33" i="3"/>
  <c r="C32" i="3"/>
  <c r="C7" i="3"/>
  <c r="C7" i="2"/>
  <c r="C15" i="2"/>
  <c r="D18" i="7"/>
  <c r="D19" i="7"/>
  <c r="I45" i="2"/>
  <c r="I49" i="2"/>
  <c r="C44" i="3"/>
  <c r="K35" i="7"/>
  <c r="K37" i="7"/>
  <c r="K31" i="7"/>
  <c r="K25" i="7"/>
  <c r="K23" i="7"/>
  <c r="K14" i="7"/>
  <c r="K13" i="7"/>
  <c r="K12" i="7"/>
  <c r="K10" i="7"/>
  <c r="K11" i="7"/>
  <c r="K8" i="7"/>
  <c r="K9" i="7"/>
  <c r="D23" i="7"/>
  <c r="D31" i="7"/>
  <c r="D32" i="7"/>
  <c r="D35" i="7"/>
  <c r="D37" i="7"/>
  <c r="D26" i="7"/>
  <c r="D14" i="7"/>
  <c r="D13" i="7"/>
  <c r="D12" i="7"/>
  <c r="D10" i="7"/>
  <c r="D11" i="7"/>
  <c r="D8" i="7"/>
  <c r="D9" i="7"/>
  <c r="C17" i="3"/>
  <c r="K19" i="7"/>
  <c r="C41" i="2"/>
  <c r="C30" i="3"/>
  <c r="C31" i="3"/>
  <c r="C5" i="3"/>
  <c r="C15" i="3"/>
  <c r="K18" i="7"/>
  <c r="J7" i="2"/>
  <c r="J45" i="2"/>
  <c r="J49" i="2"/>
  <c r="I7" i="2"/>
  <c r="I12" i="2"/>
  <c r="I24" i="2"/>
  <c r="J36" i="2"/>
  <c r="I36" i="2"/>
  <c r="J5" i="2"/>
  <c r="I5" i="2"/>
  <c r="C5" i="2"/>
  <c r="J32" i="2"/>
  <c r="J34" i="2"/>
  <c r="C45" i="2"/>
  <c r="C45" i="3"/>
  <c r="C12" i="3"/>
  <c r="K15" i="7"/>
  <c r="C12" i="2"/>
  <c r="C26" i="3"/>
  <c r="J12" i="2"/>
  <c r="J24" i="2"/>
  <c r="J37" i="2"/>
  <c r="I37" i="2"/>
  <c r="D27" i="7"/>
  <c r="C24" i="3"/>
  <c r="K24" i="7"/>
  <c r="C24" i="2"/>
  <c r="D24" i="7"/>
  <c r="D15" i="7"/>
  <c r="C36" i="3"/>
  <c r="K26" i="7"/>
  <c r="D36" i="7"/>
  <c r="D39" i="7"/>
  <c r="C37" i="2"/>
  <c r="D28" i="7"/>
  <c r="K36" i="7"/>
  <c r="K27" i="7"/>
  <c r="C37" i="3"/>
  <c r="C46" i="3"/>
  <c r="C49" i="3"/>
  <c r="K39" i="7"/>
  <c r="C46" i="2"/>
  <c r="C49" i="2"/>
  <c r="K28" i="7"/>
</calcChain>
</file>

<file path=xl/sharedStrings.xml><?xml version="1.0" encoding="utf-8"?>
<sst xmlns="http://schemas.openxmlformats.org/spreadsheetml/2006/main" count="734" uniqueCount="318">
  <si>
    <t>Parameter</t>
  </si>
  <si>
    <t>Value</t>
  </si>
  <si>
    <t>Units</t>
  </si>
  <si>
    <t>Comments</t>
  </si>
  <si>
    <t>Source</t>
  </si>
  <si>
    <t>Carrier Frequency</t>
  </si>
  <si>
    <t>Space Loss</t>
  </si>
  <si>
    <t>Polarization Loss</t>
  </si>
  <si>
    <t>dB</t>
  </si>
  <si>
    <t>Symbol</t>
  </si>
  <si>
    <t>P</t>
  </si>
  <si>
    <t>W</t>
  </si>
  <si>
    <t>Input</t>
  </si>
  <si>
    <r>
      <t>G</t>
    </r>
    <r>
      <rPr>
        <vertAlign val="subscript"/>
        <sz val="12"/>
        <color theme="1"/>
        <rFont val="Calibri"/>
        <family val="2"/>
        <scheme val="minor"/>
      </rPr>
      <t>t</t>
    </r>
  </si>
  <si>
    <t>Diameter of Transmit Antenna</t>
  </si>
  <si>
    <t>Lpt</t>
  </si>
  <si>
    <t>Transmit Antenna Pointing Loss</t>
  </si>
  <si>
    <t>Ls</t>
  </si>
  <si>
    <t>S</t>
  </si>
  <si>
    <t>f</t>
  </si>
  <si>
    <t>Path Length</t>
  </si>
  <si>
    <t>Lpr</t>
  </si>
  <si>
    <t>Receive Antenna Pointing Loss</t>
  </si>
  <si>
    <t>La</t>
  </si>
  <si>
    <t>Gr</t>
  </si>
  <si>
    <t>Peak Receive Transmitter Antenna Gain</t>
  </si>
  <si>
    <t>Ts</t>
  </si>
  <si>
    <t>Reference Temperature</t>
  </si>
  <si>
    <t>To</t>
  </si>
  <si>
    <t>K</t>
  </si>
  <si>
    <t>Receiver Nosie Temperature</t>
  </si>
  <si>
    <t>Tr</t>
  </si>
  <si>
    <t>Receiver Noise Figure</t>
  </si>
  <si>
    <t>F</t>
  </si>
  <si>
    <t>Eq. 13-24 SMAD</t>
  </si>
  <si>
    <t>Low Noise Amplifier</t>
  </si>
  <si>
    <t>Ln</t>
  </si>
  <si>
    <t>Transmission Lines and Filter</t>
  </si>
  <si>
    <t>Tl</t>
  </si>
  <si>
    <t>Receiver power output</t>
  </si>
  <si>
    <t>Po</t>
  </si>
  <si>
    <t>Receiver power input</t>
  </si>
  <si>
    <t>Pi</t>
  </si>
  <si>
    <t>Eq. 13-25 SMAD</t>
  </si>
  <si>
    <t>R</t>
  </si>
  <si>
    <t>Data Rate</t>
  </si>
  <si>
    <t>Eb/N0=P+Gt+Lpt+Lpr+Ls+La+Gr+228.6-10logTs-10logR</t>
  </si>
  <si>
    <t>Calculated Eb/N0</t>
  </si>
  <si>
    <t>Link Margin</t>
  </si>
  <si>
    <t>Bit Error Rate</t>
  </si>
  <si>
    <t>Calculation</t>
  </si>
  <si>
    <t>Given</t>
  </si>
  <si>
    <t>subject to regulatory or design constraints</t>
  </si>
  <si>
    <t>Inputs =</t>
  </si>
  <si>
    <t>parameters that can be optimized</t>
  </si>
  <si>
    <t>initial estimates, should be validated</t>
  </si>
  <si>
    <t>Capitelli's Old Link</t>
  </si>
  <si>
    <t>Assume =</t>
  </si>
  <si>
    <t>Given =</t>
  </si>
  <si>
    <t>dBW</t>
  </si>
  <si>
    <t>Derive</t>
  </si>
  <si>
    <t>Tx Power Output</t>
  </si>
  <si>
    <t>Spacecraft</t>
  </si>
  <si>
    <t xml:space="preserve"> in dbW</t>
  </si>
  <si>
    <t>Wavelength</t>
  </si>
  <si>
    <t>MHz</t>
  </si>
  <si>
    <t>m</t>
  </si>
  <si>
    <t>lambda</t>
  </si>
  <si>
    <t>Path</t>
  </si>
  <si>
    <t>Ground Station</t>
  </si>
  <si>
    <t>Spacecraft EIRP</t>
  </si>
  <si>
    <t>dBiC</t>
  </si>
  <si>
    <t>Ground Station C/No</t>
  </si>
  <si>
    <t>C/No</t>
  </si>
  <si>
    <t>GS System Figure of Merit (G/T):</t>
  </si>
  <si>
    <t>dBHz</t>
  </si>
  <si>
    <t>dB/K</t>
  </si>
  <si>
    <t>Isotropic Signal Level at GS:</t>
  </si>
  <si>
    <t>wholistic calculation</t>
  </si>
  <si>
    <r>
      <rPr>
        <sz val="12"/>
        <color rgb="FFC00000"/>
        <rFont val="Calibri"/>
        <family val="2"/>
        <scheme val="minor"/>
      </rPr>
      <t>Red</t>
    </r>
    <r>
      <rPr>
        <sz val="12"/>
        <color theme="1"/>
        <rFont val="Calibri"/>
        <family val="2"/>
        <scheme val="minor"/>
      </rPr>
      <t xml:space="preserve"> =</t>
    </r>
  </si>
  <si>
    <t>CubeSat: Electron Losses and Fields Investigation (ELFIN)</t>
  </si>
  <si>
    <t>University of California, Los Angeles</t>
  </si>
  <si>
    <t>Institute of Geophysics and Planetary Physics</t>
  </si>
  <si>
    <t>Release Information</t>
  </si>
  <si>
    <t>Proprietary</t>
  </si>
  <si>
    <t>Internal</t>
  </si>
  <si>
    <t>ITAR Controlled</t>
  </si>
  <si>
    <t>Public</t>
  </si>
  <si>
    <t>X</t>
  </si>
  <si>
    <t>Approvers List</t>
  </si>
  <si>
    <t>Title</t>
  </si>
  <si>
    <t>Name</t>
  </si>
  <si>
    <t>Signature</t>
  </si>
  <si>
    <t>Date</t>
  </si>
  <si>
    <t>Prepared By</t>
  </si>
  <si>
    <t>SE</t>
  </si>
  <si>
    <t>Updated By</t>
  </si>
  <si>
    <t>Approved By</t>
  </si>
  <si>
    <t>Release History</t>
  </si>
  <si>
    <t>Rel</t>
  </si>
  <si>
    <t>Change Description</t>
  </si>
  <si>
    <t>Owner</t>
  </si>
  <si>
    <t>Sheets Affected</t>
  </si>
  <si>
    <t>Initial Release</t>
  </si>
  <si>
    <t>All</t>
  </si>
  <si>
    <t>Link Budget</t>
  </si>
  <si>
    <t>D. Frederick</t>
  </si>
  <si>
    <t>C</t>
  </si>
  <si>
    <t>G/T</t>
  </si>
  <si>
    <t>Eq. 16-23 New SMAD</t>
  </si>
  <si>
    <t>Eq. 16-27 New SMAD</t>
  </si>
  <si>
    <t>Eq. 16-30 New SMAD</t>
  </si>
  <si>
    <t>Eq. 16-20 New SMAD</t>
  </si>
  <si>
    <t>Type</t>
  </si>
  <si>
    <t>Designed this way</t>
  </si>
  <si>
    <t>From Frequency</t>
  </si>
  <si>
    <t>Doesn’t include pointing loss of Satellite</t>
  </si>
  <si>
    <t>Design</t>
  </si>
  <si>
    <t>EIRP</t>
  </si>
  <si>
    <t>Way Old Link</t>
  </si>
  <si>
    <t>New SMAD pg 477</t>
  </si>
  <si>
    <t>TS = TA(L) + (1-L)TL + (F-1)T0</t>
  </si>
  <si>
    <t>F = 1 + Tr/T0</t>
  </si>
  <si>
    <t>=&gt;</t>
  </si>
  <si>
    <t>TA = antenna noise temp</t>
  </si>
  <si>
    <t>TL = temp of feed and other passive input components</t>
  </si>
  <si>
    <t>L = loss thru antenna feed and passive components upstream</t>
  </si>
  <si>
    <t>(expressed as ratio of the ouput power to input power)</t>
  </si>
  <si>
    <t>F = noise figure</t>
  </si>
  <si>
    <t>Tr = noise temp of receiver</t>
  </si>
  <si>
    <t>L</t>
  </si>
  <si>
    <t>Passive antenna loss</t>
  </si>
  <si>
    <t xml:space="preserve">Effective System Noise Temperature </t>
  </si>
  <si>
    <t>Eq. 16-24 New SMAD (w/ Duncan edits)</t>
  </si>
  <si>
    <t>TS = TA(L) +TL(1-L) + Tr</t>
  </si>
  <si>
    <t>if balan upright works</t>
  </si>
  <si>
    <t>we have a value from sim of 0.42 dBi (RHCP) .90 (LHCP)</t>
  </si>
  <si>
    <t>Still Dish. But our pointing loss is not as linear</t>
  </si>
  <si>
    <t>have it, find it</t>
  </si>
  <si>
    <t>corresponds with elevation angle</t>
  </si>
  <si>
    <t>Will probably be 1 dB ~ 2</t>
  </si>
  <si>
    <t>Have 2-3 amplifiers, add rows to chain. Have noise for each amp and have gain for each amplifyer</t>
  </si>
  <si>
    <t>have mod type for this</t>
  </si>
  <si>
    <t>mod type sheet has notes about what we need</t>
  </si>
  <si>
    <t>2/26/18</t>
  </si>
  <si>
    <t>Issue ID</t>
  </si>
  <si>
    <t>Sheet</t>
  </si>
  <si>
    <t>Revisions</t>
  </si>
  <si>
    <t>Notes</t>
  </si>
  <si>
    <t>Item</t>
  </si>
  <si>
    <t xml:space="preserve"> </t>
  </si>
  <si>
    <t>Downlink</t>
  </si>
  <si>
    <t>Switch losses</t>
  </si>
  <si>
    <t>deleted it because we don’t have switches</t>
  </si>
  <si>
    <t>Spacecraft Antenna noise temp</t>
  </si>
  <si>
    <t>Deleted because its irrelevant for the spacecraft</t>
  </si>
  <si>
    <t>Hidden now as its for a dish antenna</t>
  </si>
  <si>
    <t>Changed type to input as the equation  (smad 13-21)is not applicable to our antenna</t>
  </si>
  <si>
    <t>Peak Transmitter/Receiver Antenna Gain</t>
  </si>
  <si>
    <t>Removed Eq. 16-9 New SMAD [20.4+(20*LOG(C10))+(20*(LOG(C4))+(10*LOG(C9)))] as its not applicable to our antenna system</t>
  </si>
  <si>
    <t>Receiver Antenna Nosie Temperature</t>
  </si>
  <si>
    <t>Ta</t>
  </si>
  <si>
    <r>
      <rPr>
        <sz val="12"/>
        <color theme="1" tint="0.499984740745262"/>
        <rFont val="Calibri"/>
        <family val="2"/>
        <scheme val="minor"/>
      </rPr>
      <t>Grey</t>
    </r>
    <r>
      <rPr>
        <sz val="12"/>
        <color theme="1"/>
        <rFont val="Calibri"/>
        <family val="2"/>
        <scheme val="minor"/>
      </rPr>
      <t xml:space="preserve"> =</t>
    </r>
  </si>
  <si>
    <t>Useful to know but not needed for link</t>
  </si>
  <si>
    <t>Uplink</t>
  </si>
  <si>
    <t xml:space="preserve">Copy pasted downlink, still need to adjust specific differences between the two </t>
  </si>
  <si>
    <t>bps</t>
  </si>
  <si>
    <t>In dBHz:</t>
  </si>
  <si>
    <t>DeltaCDR/IARU coordination request</t>
  </si>
  <si>
    <t>Line/Cable losses</t>
  </si>
  <si>
    <t>Gave it a value and a source, still need to double check that value</t>
  </si>
  <si>
    <t>Eb/No = Energy per bit / Spectral Noise Density</t>
  </si>
  <si>
    <t>King Link (user defined mod type)</t>
  </si>
  <si>
    <t>= data value but needs verification</t>
  </si>
  <si>
    <t>Ground Station EIRP</t>
  </si>
  <si>
    <t>Isotropic Signal Level at SC:</t>
  </si>
  <si>
    <t>Spacecraft C/No</t>
  </si>
  <si>
    <t>SC System Figure of Merit (G/T):</t>
  </si>
  <si>
    <t>Revisions to the link budget</t>
  </si>
  <si>
    <t>Data</t>
  </si>
  <si>
    <t>dBi</t>
  </si>
  <si>
    <t>FCC Questionnaire</t>
  </si>
  <si>
    <t>Propogation Losses</t>
  </si>
  <si>
    <t>Environmental Loss</t>
  </si>
  <si>
    <t>FCC questionnaire</t>
  </si>
  <si>
    <t>M2 Antenna Model No. 2MCP8A data sheet</t>
  </si>
  <si>
    <t>New 4NEC2 Sims Report</t>
  </si>
  <si>
    <t>= Major value that needs other values or just itself</t>
  </si>
  <si>
    <t>=  key value</t>
  </si>
  <si>
    <t>Comm comments 2/27/18</t>
  </si>
  <si>
    <t>Input (was calculation)</t>
  </si>
  <si>
    <t>01</t>
  </si>
  <si>
    <t>Line/Cable Losses:</t>
  </si>
  <si>
    <t>AstroDev Email chain</t>
  </si>
  <si>
    <t>Old King link</t>
  </si>
  <si>
    <t>1.1</t>
  </si>
  <si>
    <t>4/9/18</t>
  </si>
  <si>
    <t xml:space="preserve"> In dbW:</t>
  </si>
  <si>
    <t>km</t>
  </si>
  <si>
    <t>Eq. 16-21 New SMAD (in km and GHz)</t>
  </si>
  <si>
    <t>Alex Gilbert STK Simulations</t>
  </si>
  <si>
    <t>DeltaCDR ESN</t>
  </si>
  <si>
    <t>New SMAD</t>
  </si>
  <si>
    <t xml:space="preserve">Could not find a source for Cap's old equation. Removing it and changing it to purely polarization, </t>
  </si>
  <si>
    <t>Public Budgets</t>
  </si>
  <si>
    <t>Created a page that will be a budget with removed clutter (comments and sources and less relevant values)</t>
  </si>
  <si>
    <t xml:space="preserve">Total P @ receive amplifier (C) </t>
  </si>
  <si>
    <t>Eq 16-31 New SMAD</t>
  </si>
  <si>
    <t>Expected Eb/No</t>
  </si>
  <si>
    <t xml:space="preserve">Added calculation with wholistic values </t>
  </si>
  <si>
    <t>Added more up to date values and created a public budget sheet</t>
  </si>
  <si>
    <t>.65 from balan, .8 from previous delta CDR.</t>
  </si>
  <si>
    <t>Document No. SL02</t>
  </si>
  <si>
    <t>This is used to determine expected Eb/No. Our old link had this supplemental to Eb/No but didn't use it for the calculation.</t>
  </si>
  <si>
    <t>Preamble</t>
  </si>
  <si>
    <t>This document serves as the public link budget for peer review. The Downlink and Uplink budgets are on separate worksheets, Downlink(UHF) and Uplink(VHF), respectivly.</t>
  </si>
  <si>
    <t>The page "Public Budgets" only includes key values and units for the budget. To see sources and comments look at the individual links' worksheets.</t>
  </si>
  <si>
    <t xml:space="preserve">Each inputted value was taken from a flight like simulation or test. Each given value is subject to initial design constraints, or contraints of the hardware of our comm system. </t>
  </si>
  <si>
    <t>At this point in development, no value was assumed.</t>
  </si>
  <si>
    <t>Calculation =</t>
  </si>
  <si>
    <t>Determened from other given or input values</t>
  </si>
  <si>
    <t>Key</t>
  </si>
  <si>
    <t xml:space="preserve">Antenna No. 436CP42UG Spec Sheet </t>
  </si>
  <si>
    <r>
      <t>10</t>
    </r>
    <r>
      <rPr>
        <sz val="12"/>
        <color theme="1"/>
        <rFont val="Calibri"/>
        <family val="2"/>
      </rPr>
      <t>°</t>
    </r>
    <r>
      <rPr>
        <sz val="12"/>
        <color theme="1"/>
        <rFont val="Calibri"/>
        <family val="2"/>
        <scheme val="minor"/>
      </rPr>
      <t xml:space="preserve"> elevation from the horizon with 95% window of communication</t>
    </r>
  </si>
  <si>
    <t>STK simulation</t>
  </si>
  <si>
    <t>FCC Questionnaire (100W max, but +60W when amplifier is on)</t>
  </si>
  <si>
    <t>95% Threshhold instead of the 100% we had before. Should we make this dB to get max gain?</t>
  </si>
  <si>
    <t>Comm PSR slide 47</t>
  </si>
  <si>
    <t>Peak Receiver Antenna Gain</t>
  </si>
  <si>
    <t>Radio Power Tests v5</t>
  </si>
  <si>
    <t>FM TVAC Debrief</t>
  </si>
  <si>
    <t>This comes from bench RF power tests at PA setting of 140. Colder temp has lower W and hotter temp have higher W</t>
  </si>
  <si>
    <t>1.2</t>
  </si>
  <si>
    <t>Multiple</t>
  </si>
  <si>
    <t>Deleted greyed out irrelevant sections that are used for circular antennas</t>
  </si>
  <si>
    <t>King Link G3RUH Modulation</t>
  </si>
  <si>
    <t>= data value but needs verification or source</t>
  </si>
  <si>
    <t>http://www.rfcafe.com</t>
  </si>
  <si>
    <t>David Ping PSR comments</t>
  </si>
  <si>
    <t>Noise Temp (multiple)</t>
  </si>
  <si>
    <t>Changed calculation based on David Ping PSR comments</t>
  </si>
  <si>
    <t>The 228.6 is Boltzman constant in dBJ/K</t>
  </si>
  <si>
    <t>Antenna Gain</t>
  </si>
  <si>
    <t>(Comes from STK sims) 2MCP8A Antenna (We may change to 2MCP22) Enter beamwidth into STK to get pointing loss</t>
  </si>
  <si>
    <t>Can go to 160, but need power meter to confirm exact value</t>
  </si>
  <si>
    <t>Cables haven't changed since Delta CDR, but connectors may have</t>
  </si>
  <si>
    <t>LNA70 datasheet</t>
  </si>
  <si>
    <t>http://www.ssb.de/amplifiers/preamplifier/vox1/70cm-band/lna-70-preamp-435-mhz-sma</t>
  </si>
  <si>
    <t>LNA70 Noise Temperature</t>
  </si>
  <si>
    <t>LNA70 Noise Figure</t>
  </si>
  <si>
    <t>ZRL700+ Noise Figure</t>
  </si>
  <si>
    <t>ZRL700+ Effective Noise Temp</t>
  </si>
  <si>
    <t>ZRL700+ Isolated Noise Temperature</t>
  </si>
  <si>
    <t>https://www.minicircuits.com/pdfs/ZRL-700+.pdf</t>
  </si>
  <si>
    <t>Second Pre Amp Gain</t>
  </si>
  <si>
    <t>First Pre Amp Gain</t>
  </si>
  <si>
    <t>ZRL700+ datasheet</t>
  </si>
  <si>
    <t>.</t>
  </si>
  <si>
    <t>King Link Modulation (Non Coherent FSK)</t>
  </si>
  <si>
    <t>Both</t>
  </si>
  <si>
    <t>Verified what King Link reports</t>
  </si>
  <si>
    <t>Polarization loss is taken into affect of antenna gain, but this is conservative remainder</t>
  </si>
  <si>
    <t>Needed Eb/N0</t>
  </si>
  <si>
    <t>We use GFSK modulation for 13.8 dB needed. Added 2B for implementation losses</t>
  </si>
  <si>
    <t>Channel (or noise) Bandwidth</t>
  </si>
  <si>
    <t>Hz</t>
  </si>
  <si>
    <t>Bit rate to Channel noise bandwidth ratio in dB</t>
  </si>
  <si>
    <t>fb/B</t>
  </si>
  <si>
    <t>Add 2dB for implementation losses</t>
  </si>
  <si>
    <t>Peak Transmit Antenna Gain</t>
  </si>
  <si>
    <t>1.3</t>
  </si>
  <si>
    <t>6/14/18</t>
  </si>
  <si>
    <t>Edited parts as per request in PSR</t>
  </si>
  <si>
    <t>Incorporated comments from post PSR discussions</t>
  </si>
  <si>
    <t>1.4</t>
  </si>
  <si>
    <t>Formatting and removed some unnecessary information</t>
  </si>
  <si>
    <t>Isotropic Signal Level at SC</t>
  </si>
  <si>
    <t>SC System Figure of Merit (G/T)</t>
  </si>
  <si>
    <t>using wholistic values</t>
  </si>
  <si>
    <t>Atmospheric Loss</t>
  </si>
  <si>
    <t>Ionospheric Loss</t>
  </si>
  <si>
    <t>Misc. Tranmission Losses</t>
  </si>
  <si>
    <t>Line/Cable Losses</t>
  </si>
  <si>
    <t>Rain Loss</t>
  </si>
  <si>
    <t>In dBHz</t>
  </si>
  <si>
    <t>GS System Figure of Merit (G/T)</t>
  </si>
  <si>
    <t>Isotropic Signal Level at GS</t>
  </si>
  <si>
    <t xml:space="preserve">18.9db from antenna + 6.0db from having 4 antennas. </t>
  </si>
  <si>
    <t>Maximum here, typical used for the gain</t>
  </si>
  <si>
    <t>.35 +/- .05 dB</t>
  </si>
  <si>
    <t>Description</t>
  </si>
  <si>
    <t>Could estimate the pointing accuracy of antenna control unit/rotor (if there’s a spec for that could use that) and then apply that accuracy to the beam width (either measured or calculated or spec sheet)- don’t forget to throw in a little bit of error for the two line element set (the PLE’s</t>
  </si>
  <si>
    <t>You measure the G/T, and then you measure the T, using a noise source and cold sky, and then just back out the antenna gain.</t>
  </si>
  <si>
    <t>Methodology</t>
  </si>
  <si>
    <t>Measurement</t>
  </si>
  <si>
    <t>Have David Pingg help with this</t>
  </si>
  <si>
    <t>Analysis/Simulation</t>
  </si>
  <si>
    <t>Simulation</t>
  </si>
  <si>
    <t>Test</t>
  </si>
  <si>
    <t>Determine what is the optimal transmssion strength as the link is ok with 50W, but we are able of going up to 160W output</t>
  </si>
  <si>
    <t>Alex Gilbert apparantly did this, awaiting his data</t>
  </si>
  <si>
    <t>Range 2C</t>
  </si>
  <si>
    <t>Range 2B</t>
  </si>
  <si>
    <t>Comm PSR slide 45</t>
  </si>
  <si>
    <t>Worst gain is -.4db with 1db of polarization loss taken into account</t>
  </si>
  <si>
    <t>Conservative estimate</t>
  </si>
  <si>
    <t xml:space="preserve">Frii's Formula </t>
  </si>
  <si>
    <t>Conservative Estimate</t>
  </si>
  <si>
    <t>Could measure in the near future, but if we can keep within 1/10th of the beamwidth there shouldn't be much loss</t>
  </si>
  <si>
    <t>Conservative guess, can test later</t>
  </si>
  <si>
    <t>Removed because it is negligible</t>
  </si>
  <si>
    <t>6/27/18</t>
  </si>
  <si>
    <t>Bench Test Downlink 4/18</t>
  </si>
  <si>
    <t>We have bench tests, can repeat to double check</t>
  </si>
  <si>
    <t>Bench tests with ICOM on earthstation</t>
  </si>
  <si>
    <t>PSR Comm</t>
  </si>
  <si>
    <t>Can retest later if needed</t>
  </si>
  <si>
    <t xml:space="preserve">Run another STK simulation with more information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</si>
</sst>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E+00"/>
    <numFmt numFmtId="165" formatCode="0.0"/>
  </numFmts>
  <fonts count="26" x14ac:knownFonts="1"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 tint="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B050"/>
      <name val="Calibri"/>
      <family val="2"/>
      <scheme val="minor"/>
    </font>
    <font>
      <sz val="12"/>
      <color rgb="FF22222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7FFA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7D2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right"/>
    </xf>
    <xf numFmtId="0" fontId="7" fillId="3" borderId="0" xfId="0" applyFont="1" applyFill="1"/>
    <xf numFmtId="0" fontId="0" fillId="0" borderId="2" xfId="0" applyFill="1" applyBorder="1"/>
    <xf numFmtId="0" fontId="0" fillId="0" borderId="0" xfId="0" applyFill="1" applyBorder="1" applyAlignment="1">
      <alignment horizontal="left" indent="5"/>
    </xf>
    <xf numFmtId="0" fontId="8" fillId="0" borderId="0" xfId="0" applyFont="1" applyFill="1" applyBorder="1" applyAlignment="1">
      <alignment horizontal="left"/>
    </xf>
    <xf numFmtId="0" fontId="0" fillId="0" borderId="0" xfId="0" applyFill="1"/>
    <xf numFmtId="49" fontId="0" fillId="2" borderId="0" xfId="0" applyNumberFormat="1" applyFill="1"/>
    <xf numFmtId="49" fontId="10" fillId="2" borderId="0" xfId="0" applyNumberFormat="1" applyFont="1" applyFill="1" applyBorder="1" applyAlignment="1"/>
    <xf numFmtId="49" fontId="11" fillId="2" borderId="0" xfId="0" applyNumberFormat="1" applyFont="1" applyFill="1" applyBorder="1" applyAlignment="1"/>
    <xf numFmtId="49" fontId="4" fillId="2" borderId="0" xfId="0" applyNumberFormat="1" applyFont="1" applyFill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/>
    </xf>
    <xf numFmtId="49" fontId="0" fillId="2" borderId="7" xfId="0" applyNumberFormat="1" applyFill="1" applyBorder="1"/>
    <xf numFmtId="49" fontId="0" fillId="2" borderId="9" xfId="0" applyNumberFormat="1" applyFill="1" applyBorder="1"/>
    <xf numFmtId="0" fontId="0" fillId="2" borderId="16" xfId="0" applyFill="1" applyBorder="1"/>
    <xf numFmtId="0" fontId="0" fillId="2" borderId="16" xfId="0" applyFill="1" applyBorder="1" applyAlignment="1">
      <alignment horizontal="center" vertical="center"/>
    </xf>
    <xf numFmtId="14" fontId="0" fillId="2" borderId="16" xfId="0" applyNumberFormat="1" applyFill="1" applyBorder="1" applyAlignment="1">
      <alignment horizontal="center" vertical="center"/>
    </xf>
    <xf numFmtId="49" fontId="4" fillId="2" borderId="16" xfId="0" applyNumberFormat="1" applyFont="1" applyFill="1" applyBorder="1"/>
    <xf numFmtId="49" fontId="0" fillId="2" borderId="16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0" fillId="2" borderId="16" xfId="0" applyNumberFormat="1" applyFill="1" applyBorder="1" applyAlignment="1">
      <alignment horizontal="center"/>
    </xf>
    <xf numFmtId="49" fontId="0" fillId="2" borderId="17" xfId="0" applyNumberFormat="1" applyFill="1" applyBorder="1" applyAlignment="1">
      <alignment horizontal="center"/>
    </xf>
    <xf numFmtId="0" fontId="5" fillId="0" borderId="0" xfId="0" applyFont="1" applyFill="1" applyBorder="1"/>
    <xf numFmtId="0" fontId="8" fillId="0" borderId="5" xfId="0" applyFont="1" applyFill="1" applyBorder="1"/>
    <xf numFmtId="0" fontId="5" fillId="0" borderId="5" xfId="0" applyFont="1" applyFill="1" applyBorder="1"/>
    <xf numFmtId="0" fontId="0" fillId="0" borderId="3" xfId="0" applyFill="1" applyBorder="1" applyAlignment="1">
      <alignment horizontal="left" indent="1"/>
    </xf>
    <xf numFmtId="0" fontId="0" fillId="0" borderId="0" xfId="0" applyFill="1" applyBorder="1" applyAlignment="1">
      <alignment horizontal="left" indent="10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/>
    </xf>
    <xf numFmtId="0" fontId="0" fillId="0" borderId="3" xfId="0" applyFill="1" applyBorder="1"/>
    <xf numFmtId="0" fontId="6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left" indent="5"/>
    </xf>
    <xf numFmtId="0" fontId="9" fillId="0" borderId="5" xfId="0" applyFont="1" applyFill="1" applyBorder="1" applyAlignment="1">
      <alignment horizontal="left" indent="1"/>
    </xf>
    <xf numFmtId="0" fontId="0" fillId="0" borderId="5" xfId="0" applyFill="1" applyBorder="1"/>
    <xf numFmtId="0" fontId="0" fillId="0" borderId="1" xfId="0" applyFill="1" applyBorder="1" applyAlignment="1">
      <alignment horizontal="left" indent="1"/>
    </xf>
    <xf numFmtId="0" fontId="0" fillId="0" borderId="2" xfId="0" applyFill="1" applyBorder="1" applyAlignment="1">
      <alignment horizontal="left"/>
    </xf>
    <xf numFmtId="0" fontId="9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9" fillId="0" borderId="3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5" fillId="0" borderId="4" xfId="0" applyFont="1" applyFill="1" applyBorder="1"/>
    <xf numFmtId="0" fontId="6" fillId="0" borderId="2" xfId="0" applyFont="1" applyFill="1" applyBorder="1"/>
    <xf numFmtId="0" fontId="0" fillId="0" borderId="0" xfId="0" applyFill="1" applyBorder="1" applyAlignment="1">
      <alignment horizontal="center"/>
    </xf>
    <xf numFmtId="0" fontId="5" fillId="0" borderId="2" xfId="0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0" fontId="0" fillId="0" borderId="0" xfId="0" applyFont="1" applyFill="1" applyBorder="1"/>
    <xf numFmtId="0" fontId="0" fillId="0" borderId="5" xfId="0" applyFill="1" applyBorder="1" applyAlignment="1">
      <alignment horizontal="left"/>
    </xf>
    <xf numFmtId="0" fontId="5" fillId="0" borderId="8" xfId="0" applyFont="1" applyFill="1" applyBorder="1"/>
    <xf numFmtId="0" fontId="14" fillId="0" borderId="0" xfId="0" applyFont="1" applyFill="1" applyBorder="1"/>
    <xf numFmtId="0" fontId="0" fillId="0" borderId="0" xfId="0" quotePrefix="1"/>
    <xf numFmtId="0" fontId="17" fillId="4" borderId="21" xfId="0" applyFont="1" applyFill="1" applyBorder="1" applyAlignment="1">
      <alignment vertical="center"/>
    </xf>
    <xf numFmtId="0" fontId="17" fillId="4" borderId="22" xfId="0" applyFont="1" applyFill="1" applyBorder="1"/>
    <xf numFmtId="0" fontId="17" fillId="4" borderId="22" xfId="0" applyFont="1" applyFill="1" applyBorder="1" applyAlignment="1">
      <alignment wrapText="1"/>
    </xf>
    <xf numFmtId="0" fontId="17" fillId="4" borderId="23" xfId="0" applyFont="1" applyFill="1" applyBorder="1" applyAlignment="1">
      <alignment wrapText="1"/>
    </xf>
    <xf numFmtId="0" fontId="17" fillId="4" borderId="24" xfId="0" applyFont="1" applyFill="1" applyBorder="1" applyAlignment="1">
      <alignment wrapText="1"/>
    </xf>
    <xf numFmtId="0" fontId="15" fillId="0" borderId="25" xfId="0" applyFont="1" applyBorder="1" applyAlignment="1">
      <alignment vertical="center"/>
    </xf>
    <xf numFmtId="0" fontId="15" fillId="0" borderId="16" xfId="0" applyFont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14" fontId="15" fillId="0" borderId="7" xfId="0" applyNumberFormat="1" applyFont="1" applyFill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5" xfId="0" applyFont="1" applyBorder="1"/>
    <xf numFmtId="0" fontId="15" fillId="0" borderId="16" xfId="0" applyFont="1" applyBorder="1"/>
    <xf numFmtId="0" fontId="15" fillId="0" borderId="16" xfId="0" applyFont="1" applyFill="1" applyBorder="1" applyAlignment="1">
      <alignment wrapText="1"/>
    </xf>
    <xf numFmtId="0" fontId="15" fillId="0" borderId="26" xfId="0" applyFont="1" applyBorder="1" applyAlignment="1">
      <alignment wrapText="1"/>
    </xf>
    <xf numFmtId="0" fontId="15" fillId="0" borderId="27" xfId="0" applyFont="1" applyBorder="1"/>
    <xf numFmtId="0" fontId="15" fillId="0" borderId="28" xfId="0" applyFont="1" applyBorder="1"/>
    <xf numFmtId="0" fontId="15" fillId="0" borderId="28" xfId="0" applyFont="1" applyFill="1" applyBorder="1" applyAlignment="1">
      <alignment wrapText="1"/>
    </xf>
    <xf numFmtId="0" fontId="15" fillId="0" borderId="29" xfId="0" applyFont="1" applyBorder="1" applyAlignment="1">
      <alignment wrapText="1"/>
    </xf>
    <xf numFmtId="0" fontId="15" fillId="0" borderId="30" xfId="0" applyFont="1" applyBorder="1"/>
    <xf numFmtId="0" fontId="15" fillId="0" borderId="31" xfId="0" applyFont="1" applyBorder="1"/>
    <xf numFmtId="0" fontId="15" fillId="0" borderId="31" xfId="0" applyFont="1" applyFill="1" applyBorder="1" applyAlignment="1">
      <alignment wrapText="1"/>
    </xf>
    <xf numFmtId="0" fontId="15" fillId="0" borderId="32" xfId="0" applyFont="1" applyFill="1" applyBorder="1" applyAlignment="1">
      <alignment wrapText="1"/>
    </xf>
    <xf numFmtId="0" fontId="15" fillId="0" borderId="33" xfId="0" applyFont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2" xfId="0" applyFont="1" applyFill="1" applyBorder="1"/>
    <xf numFmtId="0" fontId="0" fillId="0" borderId="0" xfId="0" applyFill="1" applyBorder="1" applyAlignment="1">
      <alignment horizontal="left" indent="23"/>
    </xf>
    <xf numFmtId="0" fontId="0" fillId="5" borderId="0" xfId="0" applyFill="1"/>
    <xf numFmtId="0" fontId="0" fillId="5" borderId="16" xfId="0" applyFill="1" applyBorder="1"/>
    <xf numFmtId="0" fontId="0" fillId="5" borderId="0" xfId="0" applyFill="1" applyBorder="1"/>
    <xf numFmtId="0" fontId="8" fillId="0" borderId="0" xfId="0" applyFont="1" applyFill="1"/>
    <xf numFmtId="0" fontId="19" fillId="0" borderId="3" xfId="0" applyFont="1" applyFill="1" applyBorder="1" applyAlignment="1">
      <alignment horizontal="left" indent="5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0" fillId="0" borderId="3" xfId="0" applyFill="1" applyBorder="1" applyAlignment="1">
      <alignment horizontal="left" indent="3"/>
    </xf>
    <xf numFmtId="0" fontId="0" fillId="6" borderId="0" xfId="0" applyFill="1"/>
    <xf numFmtId="0" fontId="0" fillId="0" borderId="16" xfId="0" applyFill="1" applyBorder="1"/>
    <xf numFmtId="0" fontId="0" fillId="0" borderId="16" xfId="0" applyBorder="1"/>
    <xf numFmtId="0" fontId="14" fillId="0" borderId="5" xfId="0" applyFont="1" applyFill="1" applyBorder="1"/>
    <xf numFmtId="0" fontId="14" fillId="0" borderId="2" xfId="0" applyFont="1" applyFill="1" applyBorder="1"/>
    <xf numFmtId="0" fontId="14" fillId="0" borderId="0" xfId="0" applyFont="1" applyFill="1" applyBorder="1" applyAlignment="1">
      <alignment horizontal="left" indent="1"/>
    </xf>
    <xf numFmtId="0" fontId="20" fillId="2" borderId="5" xfId="0" applyFont="1" applyFill="1" applyBorder="1"/>
    <xf numFmtId="0" fontId="20" fillId="2" borderId="10" xfId="0" applyFont="1" applyFill="1" applyBorder="1"/>
    <xf numFmtId="0" fontId="0" fillId="7" borderId="0" xfId="0" applyFill="1"/>
    <xf numFmtId="2" fontId="14" fillId="2" borderId="0" xfId="0" applyNumberFormat="1" applyFont="1" applyFill="1" applyBorder="1"/>
    <xf numFmtId="2" fontId="14" fillId="2" borderId="5" xfId="0" applyNumberFormat="1" applyFont="1" applyFill="1" applyBorder="1"/>
    <xf numFmtId="2" fontId="14" fillId="2" borderId="2" xfId="0" applyNumberFormat="1" applyFont="1" applyFill="1" applyBorder="1"/>
    <xf numFmtId="2" fontId="20" fillId="2" borderId="5" xfId="0" applyNumberFormat="1" applyFont="1" applyFill="1" applyBorder="1"/>
    <xf numFmtId="0" fontId="14" fillId="2" borderId="2" xfId="0" applyNumberFormat="1" applyFont="1" applyFill="1" applyBorder="1"/>
    <xf numFmtId="0" fontId="14" fillId="0" borderId="0" xfId="0" applyFont="1"/>
    <xf numFmtId="0" fontId="0" fillId="3" borderId="0" xfId="0" quotePrefix="1" applyFill="1"/>
    <xf numFmtId="14" fontId="15" fillId="0" borderId="1" xfId="0" applyNumberFormat="1" applyFont="1" applyFill="1" applyBorder="1" applyAlignment="1">
      <alignment wrapText="1"/>
    </xf>
    <xf numFmtId="0" fontId="5" fillId="2" borderId="0" xfId="0" applyFont="1" applyFill="1"/>
    <xf numFmtId="0" fontId="20" fillId="2" borderId="14" xfId="0" applyFont="1" applyFill="1" applyBorder="1"/>
    <xf numFmtId="0" fontId="20" fillId="2" borderId="15" xfId="0" applyFont="1" applyFill="1" applyBorder="1"/>
    <xf numFmtId="0" fontId="21" fillId="2" borderId="36" xfId="0" applyFont="1" applyFill="1" applyBorder="1"/>
    <xf numFmtId="0" fontId="20" fillId="2" borderId="37" xfId="0" applyFont="1" applyFill="1" applyBorder="1"/>
    <xf numFmtId="0" fontId="14" fillId="2" borderId="34" xfId="0" applyFont="1" applyFill="1" applyBorder="1" applyAlignment="1">
      <alignment horizontal="left" indent="1"/>
    </xf>
    <xf numFmtId="0" fontId="14" fillId="2" borderId="35" xfId="0" applyFont="1" applyFill="1" applyBorder="1"/>
    <xf numFmtId="0" fontId="14" fillId="2" borderId="34" xfId="0" applyFont="1" applyFill="1" applyBorder="1" applyAlignment="1">
      <alignment horizontal="left" indent="21"/>
    </xf>
    <xf numFmtId="0" fontId="14" fillId="2" borderId="36" xfId="0" applyFont="1" applyFill="1" applyBorder="1" applyAlignment="1">
      <alignment horizontal="left" indent="1"/>
    </xf>
    <xf numFmtId="0" fontId="14" fillId="2" borderId="37" xfId="0" applyFont="1" applyFill="1" applyBorder="1"/>
    <xf numFmtId="0" fontId="21" fillId="2" borderId="34" xfId="0" applyFont="1" applyFill="1" applyBorder="1" applyAlignment="1">
      <alignment horizontal="left"/>
    </xf>
    <xf numFmtId="0" fontId="14" fillId="2" borderId="38" xfId="0" applyFont="1" applyFill="1" applyBorder="1" applyAlignment="1">
      <alignment horizontal="left" indent="1"/>
    </xf>
    <xf numFmtId="0" fontId="14" fillId="2" borderId="39" xfId="0" applyFont="1" applyFill="1" applyBorder="1"/>
    <xf numFmtId="0" fontId="21" fillId="2" borderId="34" xfId="0" applyFont="1" applyFill="1" applyBorder="1"/>
    <xf numFmtId="0" fontId="14" fillId="2" borderId="38" xfId="0" applyFont="1" applyFill="1" applyBorder="1"/>
    <xf numFmtId="0" fontId="14" fillId="2" borderId="34" xfId="0" applyFont="1" applyFill="1" applyBorder="1" applyAlignment="1">
      <alignment horizontal="left" indent="23"/>
    </xf>
    <xf numFmtId="0" fontId="14" fillId="2" borderId="34" xfId="0" applyFont="1" applyFill="1" applyBorder="1"/>
    <xf numFmtId="0" fontId="20" fillId="2" borderId="36" xfId="0" applyFont="1" applyFill="1" applyBorder="1"/>
    <xf numFmtId="0" fontId="14" fillId="2" borderId="14" xfId="0" applyFont="1" applyFill="1" applyBorder="1"/>
    <xf numFmtId="2" fontId="14" fillId="2" borderId="10" xfId="0" applyNumberFormat="1" applyFont="1" applyFill="1" applyBorder="1"/>
    <xf numFmtId="0" fontId="14" fillId="2" borderId="15" xfId="0" applyFont="1" applyFill="1" applyBorder="1"/>
    <xf numFmtId="0" fontId="0" fillId="8" borderId="0" xfId="0" applyFill="1"/>
    <xf numFmtId="0" fontId="0" fillId="8" borderId="0" xfId="0" applyFill="1" applyBorder="1" applyAlignment="1">
      <alignment horizontal="center" vertical="center"/>
    </xf>
    <xf numFmtId="0" fontId="20" fillId="8" borderId="0" xfId="0" applyFont="1" applyFill="1" applyBorder="1"/>
    <xf numFmtId="0" fontId="14" fillId="8" borderId="0" xfId="0" applyFont="1" applyFill="1" applyBorder="1"/>
    <xf numFmtId="164" fontId="14" fillId="2" borderId="0" xfId="0" applyNumberFormat="1" applyFont="1" applyFill="1" applyBorder="1"/>
    <xf numFmtId="1" fontId="14" fillId="2" borderId="0" xfId="0" applyNumberFormat="1" applyFont="1" applyFill="1" applyBorder="1"/>
    <xf numFmtId="165" fontId="14" fillId="2" borderId="2" xfId="0" applyNumberFormat="1" applyFont="1" applyFill="1" applyBorder="1"/>
    <xf numFmtId="164" fontId="0" fillId="0" borderId="0" xfId="0" applyNumberFormat="1" applyFill="1" applyBorder="1"/>
    <xf numFmtId="0" fontId="14" fillId="0" borderId="3" xfId="0" applyFont="1" applyFill="1" applyBorder="1" applyAlignment="1">
      <alignment horizontal="left" indent="5"/>
    </xf>
    <xf numFmtId="0" fontId="14" fillId="0" borderId="0" xfId="0" applyFont="1" applyFill="1" applyBorder="1" applyAlignment="1">
      <alignment horizontal="right"/>
    </xf>
    <xf numFmtId="0" fontId="14" fillId="5" borderId="0" xfId="0" applyFont="1" applyFill="1" applyBorder="1"/>
    <xf numFmtId="0" fontId="14" fillId="0" borderId="5" xfId="0" applyFont="1" applyFill="1" applyBorder="1" applyAlignment="1">
      <alignment horizontal="left" indent="1"/>
    </xf>
    <xf numFmtId="0" fontId="14" fillId="0" borderId="5" xfId="0" applyFont="1" applyFill="1" applyBorder="1" applyAlignment="1">
      <alignment horizontal="left" vertical="top"/>
    </xf>
    <xf numFmtId="0" fontId="14" fillId="5" borderId="5" xfId="0" applyFont="1" applyFill="1" applyBorder="1"/>
    <xf numFmtId="2" fontId="0" fillId="0" borderId="16" xfId="0" applyNumberFormat="1" applyFill="1" applyBorder="1"/>
    <xf numFmtId="2" fontId="9" fillId="0" borderId="0" xfId="0" applyNumberFormat="1" applyFont="1" applyFill="1" applyBorder="1"/>
    <xf numFmtId="165" fontId="14" fillId="0" borderId="0" xfId="0" applyNumberFormat="1" applyFont="1" applyFill="1" applyBorder="1"/>
    <xf numFmtId="165" fontId="9" fillId="0" borderId="16" xfId="0" applyNumberFormat="1" applyFont="1" applyFill="1" applyBorder="1"/>
    <xf numFmtId="165" fontId="9" fillId="0" borderId="0" xfId="0" applyNumberFormat="1" applyFont="1" applyFill="1" applyBorder="1"/>
    <xf numFmtId="0" fontId="24" fillId="0" borderId="0" xfId="0" applyFont="1" applyFill="1" applyBorder="1"/>
    <xf numFmtId="0" fontId="24" fillId="0" borderId="0" xfId="0" applyFont="1"/>
    <xf numFmtId="0" fontId="0" fillId="0" borderId="0" xfId="0" applyFont="1" applyFill="1" applyBorder="1" applyAlignment="1"/>
    <xf numFmtId="0" fontId="0" fillId="0" borderId="0" xfId="0" applyFont="1" applyFill="1" applyAlignment="1">
      <alignment horizontal="left"/>
    </xf>
    <xf numFmtId="165" fontId="0" fillId="0" borderId="0" xfId="0" applyNumberFormat="1" applyFont="1" applyFill="1" applyBorder="1"/>
    <xf numFmtId="2" fontId="0" fillId="0" borderId="0" xfId="0" applyNumberFormat="1" applyFill="1" applyBorder="1"/>
    <xf numFmtId="165" fontId="0" fillId="0" borderId="0" xfId="0" applyNumberFormat="1" applyFill="1" applyBorder="1"/>
    <xf numFmtId="165" fontId="24" fillId="0" borderId="0" xfId="0" applyNumberFormat="1" applyFont="1" applyFill="1"/>
    <xf numFmtId="165" fontId="0" fillId="0" borderId="2" xfId="0" applyNumberFormat="1" applyFont="1" applyFill="1" applyBorder="1"/>
    <xf numFmtId="1" fontId="0" fillId="2" borderId="16" xfId="0" applyNumberFormat="1" applyFill="1" applyBorder="1"/>
    <xf numFmtId="1" fontId="0" fillId="0" borderId="0" xfId="0" applyNumberFormat="1" applyFill="1" applyBorder="1"/>
    <xf numFmtId="2" fontId="9" fillId="0" borderId="5" xfId="0" applyNumberFormat="1" applyFont="1" applyFill="1" applyBorder="1"/>
    <xf numFmtId="2" fontId="5" fillId="0" borderId="5" xfId="0" applyNumberFormat="1" applyFont="1" applyFill="1" applyBorder="1"/>
    <xf numFmtId="0" fontId="0" fillId="2" borderId="34" xfId="0" applyFont="1" applyFill="1" applyBorder="1" applyAlignment="1"/>
    <xf numFmtId="0" fontId="14" fillId="2" borderId="0" xfId="0" applyNumberFormat="1" applyFont="1" applyFill="1" applyBorder="1"/>
    <xf numFmtId="165" fontId="14" fillId="2" borderId="0" xfId="0" applyNumberFormat="1" applyFont="1" applyFill="1" applyBorder="1"/>
    <xf numFmtId="165" fontId="0" fillId="0" borderId="2" xfId="0" applyNumberFormat="1" applyFill="1" applyBorder="1" applyAlignment="1">
      <alignment horizontal="right"/>
    </xf>
    <xf numFmtId="1" fontId="9" fillId="0" borderId="0" xfId="0" applyNumberFormat="1" applyFont="1" applyFill="1" applyBorder="1"/>
    <xf numFmtId="0" fontId="14" fillId="0" borderId="0" xfId="0" applyFont="1" applyFill="1" applyBorder="1" applyAlignment="1"/>
    <xf numFmtId="0" fontId="14" fillId="0" borderId="0" xfId="0" applyFont="1" applyFill="1" applyAlignment="1">
      <alignment horizontal="left"/>
    </xf>
    <xf numFmtId="1" fontId="14" fillId="5" borderId="0" xfId="0" applyNumberFormat="1" applyFont="1" applyFill="1" applyBorder="1"/>
    <xf numFmtId="165" fontId="0" fillId="5" borderId="16" xfId="0" applyNumberFormat="1" applyFill="1" applyBorder="1"/>
    <xf numFmtId="0" fontId="18" fillId="0" borderId="3" xfId="0" applyFont="1" applyFill="1" applyBorder="1" applyAlignment="1">
      <alignment horizontal="left" indent="5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0" fillId="0" borderId="1" xfId="0" applyFill="1" applyBorder="1" applyAlignment="1">
      <alignment horizontal="left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0" fillId="0" borderId="0" xfId="0" applyFill="1" applyAlignment="1">
      <alignment horizontal="left"/>
    </xf>
    <xf numFmtId="0" fontId="0" fillId="0" borderId="3" xfId="0" applyFill="1" applyBorder="1" applyAlignment="1">
      <alignment horizontal="left"/>
    </xf>
    <xf numFmtId="0" fontId="17" fillId="4" borderId="40" xfId="0" applyFont="1" applyFill="1" applyBorder="1"/>
    <xf numFmtId="0" fontId="15" fillId="0" borderId="2" xfId="0" applyFont="1" applyBorder="1" applyAlignment="1">
      <alignment vertical="center" wrapText="1"/>
    </xf>
    <xf numFmtId="1" fontId="0" fillId="0" borderId="0" xfId="0" applyNumberFormat="1" applyFont="1" applyFill="1" applyBorder="1"/>
    <xf numFmtId="0" fontId="14" fillId="0" borderId="3" xfId="0" applyFont="1" applyFill="1" applyBorder="1" applyAlignment="1">
      <alignment horizontal="left"/>
    </xf>
    <xf numFmtId="49" fontId="0" fillId="2" borderId="7" xfId="0" applyNumberFormat="1" applyFill="1" applyBorder="1" applyAlignment="1"/>
    <xf numFmtId="49" fontId="0" fillId="2" borderId="8" xfId="0" applyNumberFormat="1" applyFill="1" applyBorder="1" applyAlignment="1"/>
    <xf numFmtId="49" fontId="0" fillId="2" borderId="9" xfId="0" applyNumberFormat="1" applyFill="1" applyBorder="1" applyAlignment="1"/>
    <xf numFmtId="49" fontId="11" fillId="2" borderId="0" xfId="0" applyNumberFormat="1" applyFont="1" applyFill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3" fillId="2" borderId="14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49" fontId="13" fillId="2" borderId="15" xfId="0" applyNumberFormat="1" applyFont="1" applyFill="1" applyBorder="1" applyAlignment="1">
      <alignment horizontal="center"/>
    </xf>
    <xf numFmtId="49" fontId="10" fillId="2" borderId="11" xfId="0" applyNumberFormat="1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10" fillId="2" borderId="5" xfId="0" applyNumberFormat="1" applyFon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4" xfId="0" applyNumberFormat="1" applyFill="1" applyBorder="1" applyAlignment="1"/>
    <xf numFmtId="49" fontId="0" fillId="2" borderId="5" xfId="0" applyNumberFormat="1" applyFill="1" applyBorder="1" applyAlignment="1"/>
    <xf numFmtId="49" fontId="0" fillId="2" borderId="6" xfId="0" applyNumberFormat="1" applyFill="1" applyBorder="1" applyAlignment="1"/>
    <xf numFmtId="49" fontId="4" fillId="2" borderId="7" xfId="0" applyNumberFormat="1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center"/>
    </xf>
    <xf numFmtId="49" fontId="10" fillId="2" borderId="16" xfId="0" applyNumberFormat="1" applyFont="1" applyFill="1" applyBorder="1" applyAlignment="1">
      <alignment horizontal="center"/>
    </xf>
    <xf numFmtId="49" fontId="12" fillId="2" borderId="16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0" fillId="3" borderId="0" xfId="0" applyFill="1" applyAlignment="1">
      <alignment horizontal="left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 customBuiltin="1"/>
  </cellStyles>
  <dxfs count="0"/>
  <tableStyles count="0" defaultTableStyle="TableStyleMedium9" defaultPivotStyle="PivotStyleMedium4"/>
  <colors>
    <mruColors>
      <color rgb="FFF7FFAB"/>
      <color rgb="FFFFFF99"/>
      <color rgb="FFD7D2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P39"/>
  <sheetViews>
    <sheetView showRuler="0" workbookViewId="0">
      <selection activeCell="E29" sqref="E29"/>
    </sheetView>
  </sheetViews>
  <sheetFormatPr baseColWidth="10" defaultColWidth="7.6640625" defaultRowHeight="16" x14ac:dyDescent="0.2"/>
  <cols>
    <col min="1" max="4" width="7.6640625" style="2"/>
    <col min="5" max="5" width="9.33203125" style="2" bestFit="1" customWidth="1"/>
    <col min="6" max="14" width="7.6640625" style="2"/>
    <col min="15" max="15" width="11.5" style="2" customWidth="1"/>
    <col min="16" max="16" width="13.33203125" style="2" bestFit="1" customWidth="1"/>
    <col min="17" max="16384" width="7.6640625" style="2"/>
  </cols>
  <sheetData>
    <row r="3" spans="4:16" ht="18" x14ac:dyDescent="0.25">
      <c r="D3" s="188" t="s">
        <v>80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4:16" x14ac:dyDescent="0.2">
      <c r="D4" s="187" t="s">
        <v>81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4:16" x14ac:dyDescent="0.2">
      <c r="D5" s="187" t="s">
        <v>82</v>
      </c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4:16" x14ac:dyDescent="0.2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4:16" ht="17" thickBot="1" x14ac:dyDescent="0.25"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4:16" ht="18" x14ac:dyDescent="0.2">
      <c r="D8" s="11"/>
      <c r="E8" s="192" t="s">
        <v>105</v>
      </c>
      <c r="F8" s="193"/>
      <c r="G8" s="193"/>
      <c r="H8" s="193"/>
      <c r="I8" s="193"/>
      <c r="J8" s="193"/>
      <c r="K8" s="193"/>
      <c r="L8" s="193"/>
      <c r="M8" s="193"/>
      <c r="N8" s="193"/>
      <c r="O8" s="194"/>
    </row>
    <row r="9" spans="4:16" ht="16.5" customHeight="1" thickBot="1" x14ac:dyDescent="0.25">
      <c r="D9" s="12"/>
      <c r="E9" s="189" t="s">
        <v>212</v>
      </c>
      <c r="F9" s="190"/>
      <c r="G9" s="190"/>
      <c r="H9" s="190"/>
      <c r="I9" s="190"/>
      <c r="J9" s="190"/>
      <c r="K9" s="190"/>
      <c r="L9" s="190"/>
      <c r="M9" s="190"/>
      <c r="N9" s="190"/>
      <c r="O9" s="191"/>
    </row>
    <row r="10" spans="4:16" x14ac:dyDescent="0.2"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4:16" ht="18" x14ac:dyDescent="0.2">
      <c r="D11" s="188" t="s">
        <v>83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</row>
    <row r="12" spans="4:16" x14ac:dyDescent="0.2">
      <c r="D12" s="207" t="s">
        <v>84</v>
      </c>
      <c r="E12" s="207"/>
      <c r="F12" s="207"/>
      <c r="G12" s="207" t="s">
        <v>85</v>
      </c>
      <c r="H12" s="207"/>
      <c r="I12" s="207"/>
      <c r="J12" s="207" t="s">
        <v>86</v>
      </c>
      <c r="K12" s="207"/>
      <c r="L12" s="207"/>
      <c r="M12" s="207" t="s">
        <v>87</v>
      </c>
      <c r="N12" s="207"/>
      <c r="O12" s="207"/>
      <c r="P12" s="207"/>
    </row>
    <row r="13" spans="4:16" ht="19" x14ac:dyDescent="0.25">
      <c r="D13" s="208"/>
      <c r="E13" s="208"/>
      <c r="F13" s="208"/>
      <c r="G13" s="209"/>
      <c r="H13" s="209"/>
      <c r="I13" s="209"/>
      <c r="J13" s="209"/>
      <c r="K13" s="209"/>
      <c r="L13" s="209"/>
      <c r="M13" s="209" t="s">
        <v>88</v>
      </c>
      <c r="N13" s="209"/>
      <c r="O13" s="209"/>
      <c r="P13" s="209"/>
    </row>
    <row r="14" spans="4:16" ht="19" x14ac:dyDescent="0.25"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4:16" x14ac:dyDescent="0.2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4:16" ht="18.75" customHeight="1" x14ac:dyDescent="0.2">
      <c r="D16" s="197" t="s">
        <v>89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</row>
    <row r="17" spans="4:16" x14ac:dyDescent="0.2">
      <c r="D17" s="16"/>
      <c r="E17" s="17"/>
      <c r="F17" s="206" t="s">
        <v>90</v>
      </c>
      <c r="G17" s="195"/>
      <c r="H17" s="195"/>
      <c r="I17" s="196"/>
      <c r="J17" s="195" t="s">
        <v>91</v>
      </c>
      <c r="K17" s="195"/>
      <c r="L17" s="195"/>
      <c r="M17" s="195"/>
      <c r="N17" s="196"/>
      <c r="O17" s="18" t="s">
        <v>92</v>
      </c>
      <c r="P17" s="18" t="s">
        <v>93</v>
      </c>
    </row>
    <row r="18" spans="4:16" x14ac:dyDescent="0.2">
      <c r="D18" s="198" t="s">
        <v>94</v>
      </c>
      <c r="E18" s="199"/>
      <c r="F18" s="198" t="s">
        <v>95</v>
      </c>
      <c r="G18" s="200"/>
      <c r="H18" s="200"/>
      <c r="I18" s="199"/>
      <c r="J18" s="198" t="s">
        <v>106</v>
      </c>
      <c r="K18" s="200"/>
      <c r="L18" s="200"/>
      <c r="M18" s="200"/>
      <c r="N18" s="199"/>
      <c r="O18" s="19" t="s">
        <v>88</v>
      </c>
      <c r="P18" s="20">
        <v>43157</v>
      </c>
    </row>
    <row r="19" spans="4:16" x14ac:dyDescent="0.2">
      <c r="D19" s="198" t="s">
        <v>96</v>
      </c>
      <c r="E19" s="199"/>
      <c r="F19" s="198" t="s">
        <v>95</v>
      </c>
      <c r="G19" s="200"/>
      <c r="H19" s="200"/>
      <c r="I19" s="199"/>
      <c r="J19" s="198" t="s">
        <v>106</v>
      </c>
      <c r="K19" s="200"/>
      <c r="L19" s="200"/>
      <c r="M19" s="200"/>
      <c r="N19" s="199"/>
      <c r="O19" s="19" t="s">
        <v>88</v>
      </c>
      <c r="P19" s="20">
        <v>43199</v>
      </c>
    </row>
    <row r="20" spans="4:16" x14ac:dyDescent="0.2">
      <c r="D20" s="201" t="s">
        <v>97</v>
      </c>
      <c r="E20" s="202"/>
      <c r="F20" s="203"/>
      <c r="G20" s="204"/>
      <c r="H20" s="204"/>
      <c r="I20" s="205"/>
      <c r="J20" s="204"/>
      <c r="K20" s="204"/>
      <c r="L20" s="204"/>
      <c r="M20" s="204"/>
      <c r="N20" s="205"/>
      <c r="O20" s="19"/>
      <c r="P20" s="20"/>
    </row>
    <row r="21" spans="4:16" x14ac:dyDescent="0.2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4:16" ht="18" x14ac:dyDescent="0.2">
      <c r="D22" s="197" t="s">
        <v>98</v>
      </c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</row>
    <row r="23" spans="4:16" x14ac:dyDescent="0.2">
      <c r="D23" s="21" t="s">
        <v>99</v>
      </c>
      <c r="E23" s="21" t="s">
        <v>93</v>
      </c>
      <c r="F23" s="195" t="s">
        <v>100</v>
      </c>
      <c r="G23" s="195"/>
      <c r="H23" s="195"/>
      <c r="I23" s="195"/>
      <c r="J23" s="195"/>
      <c r="K23" s="195"/>
      <c r="L23" s="195"/>
      <c r="M23" s="195"/>
      <c r="N23" s="196"/>
      <c r="O23" s="18" t="s">
        <v>101</v>
      </c>
      <c r="P23" s="18" t="s">
        <v>102</v>
      </c>
    </row>
    <row r="24" spans="4:16" x14ac:dyDescent="0.2">
      <c r="D24" s="22" t="s">
        <v>191</v>
      </c>
      <c r="E24" s="22" t="s">
        <v>144</v>
      </c>
      <c r="F24" s="184" t="s">
        <v>103</v>
      </c>
      <c r="G24" s="185"/>
      <c r="H24" s="185"/>
      <c r="I24" s="185"/>
      <c r="J24" s="185"/>
      <c r="K24" s="185"/>
      <c r="L24" s="185"/>
      <c r="M24" s="185"/>
      <c r="N24" s="186"/>
      <c r="O24" s="18" t="s">
        <v>106</v>
      </c>
      <c r="P24" s="23" t="s">
        <v>104</v>
      </c>
    </row>
    <row r="25" spans="4:16" x14ac:dyDescent="0.2">
      <c r="D25" s="22" t="s">
        <v>195</v>
      </c>
      <c r="E25" s="22" t="s">
        <v>196</v>
      </c>
      <c r="F25" s="184" t="s">
        <v>210</v>
      </c>
      <c r="G25" s="185"/>
      <c r="H25" s="185"/>
      <c r="I25" s="185"/>
      <c r="J25" s="185"/>
      <c r="K25" s="185"/>
      <c r="L25" s="185"/>
      <c r="M25" s="185"/>
      <c r="N25" s="186"/>
      <c r="O25" s="18" t="s">
        <v>106</v>
      </c>
      <c r="P25" s="23" t="s">
        <v>104</v>
      </c>
    </row>
    <row r="26" spans="4:16" x14ac:dyDescent="0.2">
      <c r="D26" s="22" t="s">
        <v>232</v>
      </c>
      <c r="E26" s="24">
        <v>43263</v>
      </c>
      <c r="F26" s="184" t="s">
        <v>272</v>
      </c>
      <c r="G26" s="185"/>
      <c r="H26" s="185"/>
      <c r="I26" s="185"/>
      <c r="J26" s="185"/>
      <c r="K26" s="185"/>
      <c r="L26" s="185"/>
      <c r="M26" s="185"/>
      <c r="N26" s="186"/>
      <c r="O26" s="18" t="s">
        <v>106</v>
      </c>
      <c r="P26" s="23" t="s">
        <v>104</v>
      </c>
    </row>
    <row r="27" spans="4:16" x14ac:dyDescent="0.2">
      <c r="D27" s="22" t="s">
        <v>270</v>
      </c>
      <c r="E27" s="22" t="s">
        <v>271</v>
      </c>
      <c r="F27" s="184" t="s">
        <v>273</v>
      </c>
      <c r="G27" s="185"/>
      <c r="H27" s="185"/>
      <c r="I27" s="185"/>
      <c r="J27" s="185"/>
      <c r="K27" s="185"/>
      <c r="L27" s="185"/>
      <c r="M27" s="185"/>
      <c r="N27" s="186"/>
      <c r="O27" s="18" t="s">
        <v>106</v>
      </c>
      <c r="P27" s="23" t="s">
        <v>104</v>
      </c>
    </row>
    <row r="28" spans="4:16" x14ac:dyDescent="0.2">
      <c r="D28" s="22" t="s">
        <v>274</v>
      </c>
      <c r="E28" s="22" t="s">
        <v>311</v>
      </c>
      <c r="F28" s="184" t="s">
        <v>275</v>
      </c>
      <c r="G28" s="185"/>
      <c r="H28" s="185"/>
      <c r="I28" s="185"/>
      <c r="J28" s="185"/>
      <c r="K28" s="185"/>
      <c r="L28" s="185"/>
      <c r="M28" s="185"/>
      <c r="N28" s="186"/>
      <c r="O28" s="18" t="s">
        <v>106</v>
      </c>
      <c r="P28" s="23" t="s">
        <v>104</v>
      </c>
    </row>
    <row r="29" spans="4:16" x14ac:dyDescent="0.2">
      <c r="D29" s="22"/>
      <c r="E29" s="22"/>
      <c r="F29" s="184"/>
      <c r="G29" s="185"/>
      <c r="H29" s="185"/>
      <c r="I29" s="185"/>
      <c r="J29" s="185"/>
      <c r="K29" s="185"/>
      <c r="L29" s="185"/>
      <c r="M29" s="185"/>
      <c r="N29" s="186"/>
      <c r="O29" s="18"/>
      <c r="P29" s="23"/>
    </row>
    <row r="30" spans="4:16" x14ac:dyDescent="0.2">
      <c r="D30" s="22"/>
      <c r="E30" s="22"/>
      <c r="F30" s="184"/>
      <c r="G30" s="185"/>
      <c r="H30" s="185"/>
      <c r="I30" s="185"/>
      <c r="J30" s="185"/>
      <c r="K30" s="185"/>
      <c r="L30" s="185"/>
      <c r="M30" s="185"/>
      <c r="N30" s="186"/>
      <c r="O30" s="18"/>
      <c r="P30" s="23"/>
    </row>
    <row r="31" spans="4:16" x14ac:dyDescent="0.2">
      <c r="D31" s="22"/>
      <c r="E31" s="22"/>
      <c r="F31" s="184"/>
      <c r="G31" s="185"/>
      <c r="H31" s="185"/>
      <c r="I31" s="185"/>
      <c r="J31" s="185"/>
      <c r="K31" s="185"/>
      <c r="L31" s="185"/>
      <c r="M31" s="185"/>
      <c r="N31" s="186"/>
      <c r="O31" s="18"/>
      <c r="P31" s="23"/>
    </row>
    <row r="32" spans="4:16" x14ac:dyDescent="0.2">
      <c r="D32" s="25"/>
      <c r="E32" s="25"/>
      <c r="F32" s="184"/>
      <c r="G32" s="185"/>
      <c r="H32" s="185"/>
      <c r="I32" s="185"/>
      <c r="J32" s="185"/>
      <c r="K32" s="185"/>
      <c r="L32" s="185"/>
      <c r="M32" s="185"/>
      <c r="N32" s="186"/>
      <c r="O32" s="18"/>
      <c r="P32" s="23"/>
    </row>
    <row r="35" spans="4:4" x14ac:dyDescent="0.2">
      <c r="D35" s="110" t="s">
        <v>214</v>
      </c>
    </row>
    <row r="36" spans="4:4" x14ac:dyDescent="0.2">
      <c r="D36" s="2" t="s">
        <v>215</v>
      </c>
    </row>
    <row r="37" spans="4:4" x14ac:dyDescent="0.2">
      <c r="D37" s="2" t="s">
        <v>216</v>
      </c>
    </row>
    <row r="38" spans="4:4" x14ac:dyDescent="0.2">
      <c r="D38" s="2" t="s">
        <v>217</v>
      </c>
    </row>
    <row r="39" spans="4:4" x14ac:dyDescent="0.2">
      <c r="D39" s="2" t="s">
        <v>218</v>
      </c>
    </row>
  </sheetData>
  <mergeCells count="37">
    <mergeCell ref="J18:N18"/>
    <mergeCell ref="D16:P16"/>
    <mergeCell ref="D12:F12"/>
    <mergeCell ref="G12:I12"/>
    <mergeCell ref="J12:L12"/>
    <mergeCell ref="D13:F13"/>
    <mergeCell ref="G13:I13"/>
    <mergeCell ref="J13:L13"/>
    <mergeCell ref="M13:P13"/>
    <mergeCell ref="M12:P12"/>
    <mergeCell ref="D11:P11"/>
    <mergeCell ref="F23:N23"/>
    <mergeCell ref="F28:N28"/>
    <mergeCell ref="D22:P22"/>
    <mergeCell ref="D19:E19"/>
    <mergeCell ref="F19:I19"/>
    <mergeCell ref="J19:N19"/>
    <mergeCell ref="D20:E20"/>
    <mergeCell ref="F20:I20"/>
    <mergeCell ref="J20:N20"/>
    <mergeCell ref="F17:I17"/>
    <mergeCell ref="J17:N17"/>
    <mergeCell ref="D18:E18"/>
    <mergeCell ref="F18:I18"/>
    <mergeCell ref="F26:N26"/>
    <mergeCell ref="F27:N27"/>
    <mergeCell ref="D5:P5"/>
    <mergeCell ref="D4:P4"/>
    <mergeCell ref="D3:P3"/>
    <mergeCell ref="E9:O9"/>
    <mergeCell ref="E8:O8"/>
    <mergeCell ref="F25:N25"/>
    <mergeCell ref="F24:N24"/>
    <mergeCell ref="F32:N32"/>
    <mergeCell ref="F29:N29"/>
    <mergeCell ref="F30:N30"/>
    <mergeCell ref="F31:N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Ruler="0" workbookViewId="0">
      <selection activeCell="E18" sqref="E18"/>
    </sheetView>
  </sheetViews>
  <sheetFormatPr baseColWidth="10" defaultColWidth="8.83203125" defaultRowHeight="16" x14ac:dyDescent="0.2"/>
  <cols>
    <col min="1" max="1" width="6.6640625" customWidth="1"/>
    <col min="3" max="3" width="17.6640625" customWidth="1"/>
    <col min="4" max="4" width="92.33203125" customWidth="1"/>
    <col min="6" max="6" width="17.33203125" customWidth="1"/>
  </cols>
  <sheetData>
    <row r="1" spans="1:6" ht="19.5" thickBot="1" x14ac:dyDescent="0.35">
      <c r="A1" s="210" t="s">
        <v>178</v>
      </c>
      <c r="B1" s="210"/>
      <c r="C1" s="210"/>
      <c r="D1" s="210"/>
      <c r="E1" s="210"/>
      <c r="F1" s="210"/>
    </row>
    <row r="2" spans="1:6" x14ac:dyDescent="0.2">
      <c r="A2" s="58" t="s">
        <v>145</v>
      </c>
      <c r="B2" s="59" t="s">
        <v>146</v>
      </c>
      <c r="C2" s="59" t="s">
        <v>149</v>
      </c>
      <c r="D2" s="60" t="s">
        <v>147</v>
      </c>
      <c r="E2" s="61" t="s">
        <v>93</v>
      </c>
      <c r="F2" s="62" t="s">
        <v>148</v>
      </c>
    </row>
    <row r="3" spans="1:6" x14ac:dyDescent="0.2">
      <c r="A3" s="63">
        <v>1</v>
      </c>
      <c r="B3" s="64" t="s">
        <v>151</v>
      </c>
      <c r="C3" s="64" t="s">
        <v>152</v>
      </c>
      <c r="D3" s="65" t="s">
        <v>153</v>
      </c>
      <c r="E3" s="66">
        <v>43158</v>
      </c>
      <c r="F3" s="67"/>
    </row>
    <row r="4" spans="1:6" ht="30" x14ac:dyDescent="0.2">
      <c r="A4" s="68">
        <v>2</v>
      </c>
      <c r="B4" s="64" t="s">
        <v>151</v>
      </c>
      <c r="C4" s="64" t="s">
        <v>154</v>
      </c>
      <c r="D4" s="70" t="s">
        <v>155</v>
      </c>
      <c r="E4" s="66">
        <v>43158</v>
      </c>
      <c r="F4" s="71"/>
    </row>
    <row r="5" spans="1:6" ht="32" x14ac:dyDescent="0.2">
      <c r="A5" s="68">
        <v>3</v>
      </c>
      <c r="B5" s="69" t="s">
        <v>151</v>
      </c>
      <c r="C5" s="82" t="s">
        <v>14</v>
      </c>
      <c r="D5" s="70" t="s">
        <v>156</v>
      </c>
      <c r="E5" s="66">
        <v>43158</v>
      </c>
      <c r="F5" s="71"/>
    </row>
    <row r="6" spans="1:6" ht="32" x14ac:dyDescent="0.2">
      <c r="A6" s="68">
        <v>4</v>
      </c>
      <c r="B6" s="69" t="s">
        <v>151</v>
      </c>
      <c r="C6" s="82" t="s">
        <v>16</v>
      </c>
      <c r="D6" s="70" t="s">
        <v>157</v>
      </c>
      <c r="E6" s="66">
        <v>43158</v>
      </c>
      <c r="F6" s="71"/>
    </row>
    <row r="7" spans="1:6" ht="32" x14ac:dyDescent="0.2">
      <c r="A7" s="68">
        <v>5</v>
      </c>
      <c r="B7" s="69" t="s">
        <v>151</v>
      </c>
      <c r="C7" s="82" t="s">
        <v>22</v>
      </c>
      <c r="D7" s="70" t="s">
        <v>157</v>
      </c>
      <c r="E7" s="66">
        <v>43158</v>
      </c>
      <c r="F7" s="71"/>
    </row>
    <row r="8" spans="1:6" ht="48" x14ac:dyDescent="0.2">
      <c r="A8" s="68">
        <v>6</v>
      </c>
      <c r="B8" s="69" t="s">
        <v>151</v>
      </c>
      <c r="C8" s="81" t="s">
        <v>158</v>
      </c>
      <c r="D8" s="70" t="s">
        <v>159</v>
      </c>
      <c r="E8" s="66">
        <v>43158</v>
      </c>
      <c r="F8" s="71"/>
    </row>
    <row r="9" spans="1:6" x14ac:dyDescent="0.2">
      <c r="A9" s="68">
        <v>7</v>
      </c>
      <c r="B9" s="69" t="s">
        <v>164</v>
      </c>
      <c r="C9" s="69" t="s">
        <v>104</v>
      </c>
      <c r="D9" s="70" t="s">
        <v>165</v>
      </c>
      <c r="E9" s="66">
        <v>43158</v>
      </c>
      <c r="F9" s="71" t="s">
        <v>150</v>
      </c>
    </row>
    <row r="10" spans="1:6" x14ac:dyDescent="0.2">
      <c r="A10" s="72">
        <v>8</v>
      </c>
      <c r="B10" s="73" t="s">
        <v>151</v>
      </c>
      <c r="C10" s="73" t="s">
        <v>169</v>
      </c>
      <c r="D10" s="74" t="s">
        <v>170</v>
      </c>
      <c r="E10" s="66">
        <v>43158</v>
      </c>
      <c r="F10" s="75" t="s">
        <v>150</v>
      </c>
    </row>
    <row r="11" spans="1:6" x14ac:dyDescent="0.2">
      <c r="A11" s="72">
        <v>9</v>
      </c>
      <c r="B11" s="73" t="s">
        <v>151</v>
      </c>
      <c r="C11" s="73" t="s">
        <v>182</v>
      </c>
      <c r="D11" s="74" t="s">
        <v>203</v>
      </c>
      <c r="E11" s="66"/>
      <c r="F11" s="75"/>
    </row>
    <row r="12" spans="1:6" x14ac:dyDescent="0.2">
      <c r="A12" s="72">
        <v>10</v>
      </c>
      <c r="B12" s="73" t="s">
        <v>204</v>
      </c>
      <c r="C12" s="73" t="s">
        <v>104</v>
      </c>
      <c r="D12" s="74" t="s">
        <v>205</v>
      </c>
      <c r="E12" s="66"/>
      <c r="F12" s="75"/>
    </row>
    <row r="13" spans="1:6" x14ac:dyDescent="0.2">
      <c r="A13" s="72">
        <v>11</v>
      </c>
      <c r="B13" s="73" t="s">
        <v>151</v>
      </c>
      <c r="C13" s="73" t="s">
        <v>208</v>
      </c>
      <c r="D13" s="74" t="s">
        <v>209</v>
      </c>
      <c r="E13" s="66">
        <v>43200</v>
      </c>
      <c r="F13" s="75"/>
    </row>
    <row r="14" spans="1:6" x14ac:dyDescent="0.2">
      <c r="A14" s="72">
        <v>12</v>
      </c>
      <c r="B14" s="73" t="s">
        <v>164</v>
      </c>
      <c r="C14" s="73" t="s">
        <v>208</v>
      </c>
      <c r="D14" s="74" t="s">
        <v>209</v>
      </c>
      <c r="E14" s="109">
        <v>43200</v>
      </c>
      <c r="F14" s="75"/>
    </row>
    <row r="15" spans="1:6" x14ac:dyDescent="0.2">
      <c r="A15" s="72">
        <v>13</v>
      </c>
      <c r="B15" s="73" t="s">
        <v>151</v>
      </c>
      <c r="C15" s="73" t="s">
        <v>233</v>
      </c>
      <c r="D15" s="74" t="s">
        <v>234</v>
      </c>
      <c r="E15" s="109">
        <v>43263</v>
      </c>
      <c r="F15" s="75"/>
    </row>
    <row r="16" spans="1:6" x14ac:dyDescent="0.2">
      <c r="A16" s="72">
        <v>14</v>
      </c>
      <c r="B16" s="73" t="s">
        <v>151</v>
      </c>
      <c r="C16" s="73" t="s">
        <v>239</v>
      </c>
      <c r="D16" s="74" t="s">
        <v>240</v>
      </c>
      <c r="E16" s="109">
        <v>43264</v>
      </c>
      <c r="F16" s="75"/>
    </row>
    <row r="17" spans="1:6" x14ac:dyDescent="0.2">
      <c r="A17" s="72">
        <v>15</v>
      </c>
      <c r="B17" s="73" t="s">
        <v>259</v>
      </c>
      <c r="C17" s="73" t="s">
        <v>208</v>
      </c>
      <c r="D17" s="74" t="s">
        <v>260</v>
      </c>
      <c r="E17" s="109">
        <v>43264</v>
      </c>
      <c r="F17" s="75"/>
    </row>
    <row r="18" spans="1:6" x14ac:dyDescent="0.2">
      <c r="A18" s="72">
        <v>16</v>
      </c>
      <c r="B18" s="73" t="s">
        <v>259</v>
      </c>
      <c r="C18" s="73" t="s">
        <v>283</v>
      </c>
      <c r="D18" s="74" t="s">
        <v>310</v>
      </c>
      <c r="E18" s="109">
        <v>43277</v>
      </c>
      <c r="F18" s="75"/>
    </row>
    <row r="19" spans="1:6" x14ac:dyDescent="0.2">
      <c r="A19" s="72"/>
      <c r="B19" s="73"/>
      <c r="C19" s="73"/>
      <c r="D19" s="74"/>
      <c r="E19" s="109"/>
      <c r="F19" s="75"/>
    </row>
    <row r="20" spans="1:6" ht="17" thickBot="1" x14ac:dyDescent="0.25">
      <c r="A20" s="76"/>
      <c r="B20" s="77"/>
      <c r="C20" s="77"/>
      <c r="D20" s="78"/>
      <c r="E20" s="79"/>
      <c r="F20" s="80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Ruler="0" workbookViewId="0">
      <selection activeCell="B12" sqref="B12"/>
    </sheetView>
  </sheetViews>
  <sheetFormatPr baseColWidth="10" defaultColWidth="8.83203125" defaultRowHeight="16" x14ac:dyDescent="0.2"/>
  <cols>
    <col min="1" max="1" width="8.33203125" bestFit="1" customWidth="1"/>
    <col min="2" max="2" width="31.6640625" bestFit="1" customWidth="1"/>
    <col min="3" max="3" width="16.83203125" bestFit="1" customWidth="1"/>
    <col min="4" max="4" width="101.1640625" style="176" customWidth="1"/>
    <col min="5" max="5" width="10.1640625" bestFit="1" customWidth="1"/>
  </cols>
  <sheetData>
    <row r="1" spans="1:4" x14ac:dyDescent="0.2">
      <c r="A1" s="180" t="s">
        <v>146</v>
      </c>
      <c r="B1" s="59" t="s">
        <v>149</v>
      </c>
      <c r="C1" s="59" t="s">
        <v>293</v>
      </c>
      <c r="D1" s="60" t="s">
        <v>290</v>
      </c>
    </row>
    <row r="2" spans="1:4" ht="48" x14ac:dyDescent="0.2">
      <c r="A2" s="181" t="s">
        <v>151</v>
      </c>
      <c r="B2" s="40" t="s">
        <v>22</v>
      </c>
      <c r="C2" s="175" t="s">
        <v>296</v>
      </c>
      <c r="D2" s="177" t="s">
        <v>291</v>
      </c>
    </row>
    <row r="3" spans="1:4" ht="32" x14ac:dyDescent="0.2">
      <c r="A3" t="s">
        <v>151</v>
      </c>
      <c r="B3" s="32" t="s">
        <v>242</v>
      </c>
      <c r="C3" s="32" t="s">
        <v>294</v>
      </c>
      <c r="D3" s="176" t="s">
        <v>292</v>
      </c>
    </row>
    <row r="4" spans="1:4" x14ac:dyDescent="0.2">
      <c r="A4" t="s">
        <v>151</v>
      </c>
      <c r="B4" s="32" t="s">
        <v>132</v>
      </c>
      <c r="C4" s="32" t="s">
        <v>294</v>
      </c>
      <c r="D4" s="176" t="s">
        <v>295</v>
      </c>
    </row>
    <row r="5" spans="1:4" x14ac:dyDescent="0.2">
      <c r="A5" t="s">
        <v>151</v>
      </c>
      <c r="B5" s="178" t="s">
        <v>285</v>
      </c>
      <c r="C5" t="s">
        <v>294</v>
      </c>
      <c r="D5" s="176" t="s">
        <v>295</v>
      </c>
    </row>
    <row r="6" spans="1:4" x14ac:dyDescent="0.2">
      <c r="A6" t="s">
        <v>151</v>
      </c>
      <c r="B6" s="152" t="s">
        <v>264</v>
      </c>
      <c r="C6" t="s">
        <v>298</v>
      </c>
      <c r="D6" s="176" t="s">
        <v>313</v>
      </c>
    </row>
    <row r="7" spans="1:4" ht="32" x14ac:dyDescent="0.2">
      <c r="A7" t="s">
        <v>164</v>
      </c>
      <c r="B7" s="179" t="s">
        <v>61</v>
      </c>
      <c r="C7" t="s">
        <v>298</v>
      </c>
      <c r="D7" s="176" t="s">
        <v>299</v>
      </c>
    </row>
    <row r="8" spans="1:4" x14ac:dyDescent="0.2">
      <c r="A8" t="s">
        <v>164</v>
      </c>
      <c r="B8" s="32" t="s">
        <v>228</v>
      </c>
      <c r="C8" t="s">
        <v>297</v>
      </c>
      <c r="D8" s="176" t="s">
        <v>300</v>
      </c>
    </row>
    <row r="9" spans="1:4" x14ac:dyDescent="0.2">
      <c r="A9" t="s">
        <v>164</v>
      </c>
      <c r="B9" s="152" t="s">
        <v>264</v>
      </c>
      <c r="C9" t="s">
        <v>298</v>
      </c>
      <c r="D9" s="176" t="s">
        <v>314</v>
      </c>
    </row>
    <row r="10" spans="1:4" x14ac:dyDescent="0.2">
      <c r="A10" t="s">
        <v>164</v>
      </c>
      <c r="B10" s="183" t="s">
        <v>160</v>
      </c>
      <c r="C10" t="s">
        <v>297</v>
      </c>
      <c r="D10" s="176" t="s">
        <v>317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7"/>
  <sheetViews>
    <sheetView tabSelected="1" showRuler="0" zoomScale="90" zoomScaleNormal="90" workbookViewId="0">
      <selection activeCell="T1" sqref="T1:AB1048576"/>
    </sheetView>
  </sheetViews>
  <sheetFormatPr baseColWidth="10" defaultColWidth="8.83203125" defaultRowHeight="16" x14ac:dyDescent="0.2"/>
  <cols>
    <col min="1" max="1" width="16" customWidth="1"/>
    <col min="2" max="2" width="2.1640625" customWidth="1"/>
    <col min="3" max="3" width="42" customWidth="1"/>
    <col min="6" max="6" width="2.1640625" customWidth="1"/>
    <col min="9" max="9" width="2.1640625" customWidth="1"/>
    <col min="10" max="10" width="39.1640625" style="9" customWidth="1"/>
    <col min="11" max="11" width="8.83203125" style="9"/>
    <col min="12" max="12" width="15.1640625" style="9" customWidth="1"/>
    <col min="13" max="13" width="2.1640625" customWidth="1"/>
  </cols>
  <sheetData>
    <row r="1" spans="2:19" s="101" customFormat="1" ht="17.25" customHeight="1" x14ac:dyDescent="0.25"/>
    <row r="2" spans="2:19" ht="16.5" thickBot="1" x14ac:dyDescent="0.3">
      <c r="B2" s="131"/>
      <c r="C2" s="131"/>
      <c r="D2" s="131"/>
      <c r="E2" s="131"/>
      <c r="F2" s="131"/>
      <c r="G2" s="101"/>
      <c r="H2" s="101"/>
      <c r="I2" s="131"/>
      <c r="J2" s="131"/>
      <c r="K2" s="131"/>
      <c r="L2" s="131"/>
      <c r="M2" s="131"/>
      <c r="N2" s="101"/>
      <c r="O2" s="101"/>
      <c r="P2" s="101"/>
      <c r="Q2" s="101"/>
      <c r="R2" s="101"/>
      <c r="S2" s="101"/>
    </row>
    <row r="3" spans="2:19" ht="15.75" customHeight="1" x14ac:dyDescent="0.2">
      <c r="B3" s="132"/>
      <c r="C3" s="211" t="s">
        <v>151</v>
      </c>
      <c r="D3" s="212"/>
      <c r="E3" s="213"/>
      <c r="F3" s="132"/>
      <c r="G3" s="101"/>
      <c r="H3" s="101"/>
      <c r="I3" s="132"/>
      <c r="J3" s="211" t="s">
        <v>164</v>
      </c>
      <c r="K3" s="212"/>
      <c r="L3" s="213"/>
      <c r="M3" s="132"/>
      <c r="N3" s="101"/>
      <c r="O3" s="101"/>
      <c r="P3" s="101"/>
      <c r="Q3" s="101"/>
      <c r="R3" s="101"/>
      <c r="S3" s="101"/>
    </row>
    <row r="4" spans="2:19" ht="17" thickBot="1" x14ac:dyDescent="0.25">
      <c r="B4" s="132"/>
      <c r="C4" s="214"/>
      <c r="D4" s="215"/>
      <c r="E4" s="216"/>
      <c r="F4" s="132"/>
      <c r="G4" s="101"/>
      <c r="H4" s="101"/>
      <c r="I4" s="132"/>
      <c r="J4" s="214"/>
      <c r="K4" s="215"/>
      <c r="L4" s="216"/>
      <c r="M4" s="132"/>
      <c r="N4" s="101"/>
      <c r="O4" s="101"/>
      <c r="P4" s="101"/>
      <c r="Q4" s="101"/>
      <c r="R4" s="101"/>
      <c r="S4" s="101"/>
    </row>
    <row r="5" spans="2:19" ht="16.5" thickBot="1" x14ac:dyDescent="0.3">
      <c r="B5" s="133"/>
      <c r="C5" s="111" t="s">
        <v>0</v>
      </c>
      <c r="D5" s="100" t="s">
        <v>1</v>
      </c>
      <c r="E5" s="112" t="s">
        <v>2</v>
      </c>
      <c r="F5" s="133"/>
      <c r="G5" s="101"/>
      <c r="H5" s="101"/>
      <c r="I5" s="133"/>
      <c r="J5" s="111" t="s">
        <v>0</v>
      </c>
      <c r="K5" s="100" t="s">
        <v>1</v>
      </c>
      <c r="L5" s="112" t="s">
        <v>2</v>
      </c>
      <c r="M5" s="133"/>
      <c r="N5" s="101"/>
      <c r="O5" s="101"/>
      <c r="P5" s="101"/>
      <c r="Q5" s="101"/>
      <c r="R5" s="101"/>
      <c r="S5" s="101"/>
    </row>
    <row r="6" spans="2:19" x14ac:dyDescent="0.2">
      <c r="B6" s="133"/>
      <c r="C6" s="126"/>
      <c r="D6" s="102"/>
      <c r="E6" s="116"/>
      <c r="F6" s="133"/>
      <c r="G6" s="101"/>
      <c r="H6" s="101"/>
      <c r="I6" s="133"/>
      <c r="J6" s="126"/>
      <c r="K6" s="102"/>
      <c r="L6" s="116"/>
      <c r="M6" s="133"/>
      <c r="N6" s="101"/>
      <c r="O6" s="101"/>
      <c r="P6" s="101"/>
      <c r="Q6" s="101"/>
      <c r="R6" s="101"/>
      <c r="S6" s="101"/>
    </row>
    <row r="7" spans="2:19" x14ac:dyDescent="0.2">
      <c r="B7" s="133"/>
      <c r="C7" s="113" t="s">
        <v>62</v>
      </c>
      <c r="D7" s="99"/>
      <c r="E7" s="114"/>
      <c r="F7" s="133"/>
      <c r="G7" s="101"/>
      <c r="H7" s="101"/>
      <c r="I7" s="133"/>
      <c r="J7" s="113" t="s">
        <v>69</v>
      </c>
      <c r="K7" s="99"/>
      <c r="L7" s="114"/>
      <c r="M7" s="133"/>
      <c r="N7" s="101"/>
      <c r="O7" s="101"/>
      <c r="P7" s="101"/>
      <c r="Q7" s="101"/>
      <c r="R7" s="101"/>
      <c r="S7" s="101"/>
    </row>
    <row r="8" spans="2:19" x14ac:dyDescent="0.2">
      <c r="B8" s="134"/>
      <c r="C8" s="115" t="s">
        <v>5</v>
      </c>
      <c r="D8" s="102">
        <f>'Downlink (UHF)'!C4</f>
        <v>437.45</v>
      </c>
      <c r="E8" s="116" t="s">
        <v>65</v>
      </c>
      <c r="F8" s="134"/>
      <c r="G8" s="101"/>
      <c r="H8" s="101"/>
      <c r="I8" s="134"/>
      <c r="J8" s="115" t="s">
        <v>5</v>
      </c>
      <c r="K8" s="102">
        <f>'Uplink (VHF)'!C4</f>
        <v>145.96</v>
      </c>
      <c r="L8" s="116" t="s">
        <v>65</v>
      </c>
      <c r="M8" s="134"/>
      <c r="N8" s="101"/>
      <c r="O8" s="101"/>
      <c r="P8" s="101"/>
      <c r="Q8" s="101"/>
      <c r="R8" s="101"/>
      <c r="S8" s="101"/>
    </row>
    <row r="9" spans="2:19" x14ac:dyDescent="0.2">
      <c r="B9" s="134"/>
      <c r="C9" s="115" t="s">
        <v>64</v>
      </c>
      <c r="D9" s="102">
        <f>299.8/D8</f>
        <v>0.68533546691050407</v>
      </c>
      <c r="E9" s="116" t="s">
        <v>66</v>
      </c>
      <c r="F9" s="134"/>
      <c r="G9" s="101"/>
      <c r="H9" s="101"/>
      <c r="I9" s="134"/>
      <c r="J9" s="115" t="s">
        <v>64</v>
      </c>
      <c r="K9" s="102">
        <f>299.8/K8</f>
        <v>2.0539873938065223</v>
      </c>
      <c r="L9" s="116" t="s">
        <v>66</v>
      </c>
      <c r="M9" s="134"/>
      <c r="N9" s="101"/>
      <c r="O9" s="101"/>
      <c r="P9" s="101"/>
      <c r="Q9" s="101"/>
      <c r="R9" s="101"/>
      <c r="S9" s="101"/>
    </row>
    <row r="10" spans="2:19" x14ac:dyDescent="0.2">
      <c r="B10" s="134"/>
      <c r="C10" s="115" t="s">
        <v>61</v>
      </c>
      <c r="D10" s="102">
        <f>'Downlink (UHF)'!C6</f>
        <v>1.5</v>
      </c>
      <c r="E10" s="116" t="s">
        <v>11</v>
      </c>
      <c r="F10" s="134"/>
      <c r="G10" s="101"/>
      <c r="H10" s="101"/>
      <c r="I10" s="134"/>
      <c r="J10" s="115" t="s">
        <v>61</v>
      </c>
      <c r="K10" s="102">
        <f>'Uplink (VHF)'!C6</f>
        <v>50</v>
      </c>
      <c r="L10" s="116" t="s">
        <v>11</v>
      </c>
      <c r="M10" s="134"/>
      <c r="N10" s="101"/>
      <c r="O10" s="101"/>
      <c r="P10" s="101"/>
      <c r="Q10" s="101"/>
      <c r="R10" s="101"/>
      <c r="S10" s="101"/>
    </row>
    <row r="11" spans="2:19" x14ac:dyDescent="0.2">
      <c r="B11" s="134"/>
      <c r="C11" s="117" t="s">
        <v>197</v>
      </c>
      <c r="D11" s="102">
        <f>10*LOG10(D10)</f>
        <v>1.7609125905568124</v>
      </c>
      <c r="E11" s="116" t="s">
        <v>59</v>
      </c>
      <c r="F11" s="134"/>
      <c r="G11" s="101"/>
      <c r="H11" s="101"/>
      <c r="I11" s="134"/>
      <c r="J11" s="117" t="s">
        <v>197</v>
      </c>
      <c r="K11" s="102">
        <f>10*LOG10(K10)</f>
        <v>16.989700043360187</v>
      </c>
      <c r="L11" s="116" t="s">
        <v>59</v>
      </c>
      <c r="M11" s="134"/>
      <c r="N11" s="101"/>
      <c r="O11" s="101"/>
      <c r="P11" s="101"/>
      <c r="Q11" s="101"/>
      <c r="R11" s="101"/>
      <c r="S11" s="101"/>
    </row>
    <row r="12" spans="2:19" x14ac:dyDescent="0.2">
      <c r="B12" s="134"/>
      <c r="C12" s="115" t="s">
        <v>269</v>
      </c>
      <c r="D12" s="102">
        <f>'Downlink (UHF)'!C8</f>
        <v>0.42</v>
      </c>
      <c r="E12" s="116" t="s">
        <v>71</v>
      </c>
      <c r="F12" s="134"/>
      <c r="G12" s="101"/>
      <c r="H12" s="101"/>
      <c r="I12" s="134"/>
      <c r="J12" s="115" t="s">
        <v>269</v>
      </c>
      <c r="K12" s="102">
        <f>'Uplink (VHF)'!C8</f>
        <v>9.1999999999999993</v>
      </c>
      <c r="L12" s="116" t="s">
        <v>71</v>
      </c>
      <c r="M12" s="134"/>
      <c r="N12" s="101"/>
      <c r="O12" s="101"/>
      <c r="P12" s="101"/>
      <c r="Q12" s="101"/>
      <c r="R12" s="101"/>
      <c r="S12" s="101"/>
    </row>
    <row r="13" spans="2:19" x14ac:dyDescent="0.2">
      <c r="B13" s="134"/>
      <c r="C13" s="115" t="s">
        <v>16</v>
      </c>
      <c r="D13" s="102">
        <f>'Downlink (UHF)'!C9</f>
        <v>-12.97</v>
      </c>
      <c r="E13" s="116" t="s">
        <v>8</v>
      </c>
      <c r="F13" s="134"/>
      <c r="G13" s="101"/>
      <c r="H13" s="101"/>
      <c r="I13" s="134"/>
      <c r="J13" s="115" t="s">
        <v>16</v>
      </c>
      <c r="K13" s="102">
        <f>'Uplink (VHF)'!C9</f>
        <v>-0.5</v>
      </c>
      <c r="L13" s="116" t="s">
        <v>8</v>
      </c>
      <c r="M13" s="134"/>
      <c r="N13" s="101"/>
      <c r="O13" s="101"/>
      <c r="P13" s="101"/>
      <c r="Q13" s="101"/>
      <c r="R13" s="101"/>
      <c r="S13" s="101"/>
    </row>
    <row r="14" spans="2:19" x14ac:dyDescent="0.2">
      <c r="B14" s="134"/>
      <c r="C14" s="115" t="s">
        <v>192</v>
      </c>
      <c r="D14" s="102">
        <f>'Downlink (UHF)'!C10</f>
        <v>-1.45</v>
      </c>
      <c r="E14" s="116" t="s">
        <v>8</v>
      </c>
      <c r="F14" s="134"/>
      <c r="G14" s="101"/>
      <c r="H14" s="101"/>
      <c r="I14" s="134"/>
      <c r="J14" s="115" t="s">
        <v>192</v>
      </c>
      <c r="K14" s="102">
        <f>'Uplink (VHF)'!C10</f>
        <v>-1.75</v>
      </c>
      <c r="L14" s="116" t="s">
        <v>8</v>
      </c>
      <c r="M14" s="134"/>
      <c r="N14" s="101"/>
      <c r="O14" s="101"/>
      <c r="P14" s="101"/>
      <c r="Q14" s="101"/>
      <c r="R14" s="101"/>
      <c r="S14" s="101"/>
    </row>
    <row r="15" spans="2:19" x14ac:dyDescent="0.2">
      <c r="B15" s="134"/>
      <c r="C15" s="118" t="s">
        <v>70</v>
      </c>
      <c r="D15" s="103">
        <f>'Downlink (UHF)'!C12</f>
        <v>0.33091259055681255</v>
      </c>
      <c r="E15" s="119" t="s">
        <v>59</v>
      </c>
      <c r="F15" s="134"/>
      <c r="G15" s="101"/>
      <c r="H15" s="101"/>
      <c r="I15" s="134"/>
      <c r="J15" s="118" t="s">
        <v>174</v>
      </c>
      <c r="K15" s="103">
        <f>'Uplink (VHF)'!C12</f>
        <v>23.939700043360187</v>
      </c>
      <c r="L15" s="119" t="s">
        <v>59</v>
      </c>
      <c r="M15" s="134"/>
      <c r="N15" s="101"/>
      <c r="O15" s="101"/>
      <c r="P15" s="101"/>
      <c r="Q15" s="101"/>
      <c r="R15" s="101"/>
      <c r="S15" s="101"/>
    </row>
    <row r="16" spans="2:19" x14ac:dyDescent="0.2">
      <c r="B16" s="134"/>
      <c r="C16" s="126"/>
      <c r="D16" s="102"/>
      <c r="E16" s="116"/>
      <c r="F16" s="134"/>
      <c r="G16" s="101"/>
      <c r="H16" s="101"/>
      <c r="I16" s="134"/>
      <c r="J16" s="126"/>
      <c r="K16" s="102"/>
      <c r="L16" s="116"/>
      <c r="M16" s="134"/>
      <c r="N16" s="101"/>
      <c r="O16" s="101"/>
      <c r="P16" s="101"/>
      <c r="Q16" s="101"/>
      <c r="R16" s="101"/>
      <c r="S16" s="101"/>
    </row>
    <row r="17" spans="2:19" x14ac:dyDescent="0.2">
      <c r="B17" s="134"/>
      <c r="C17" s="120" t="s">
        <v>68</v>
      </c>
      <c r="D17" s="102"/>
      <c r="E17" s="116"/>
      <c r="F17" s="134"/>
      <c r="G17" s="101"/>
      <c r="H17" s="101"/>
      <c r="I17" s="134"/>
      <c r="J17" s="120" t="s">
        <v>68</v>
      </c>
      <c r="K17" s="102"/>
      <c r="L17" s="116"/>
      <c r="M17" s="134"/>
      <c r="N17" s="101"/>
      <c r="O17" s="101"/>
      <c r="P17" s="101"/>
      <c r="Q17" s="101"/>
      <c r="R17" s="101"/>
      <c r="S17" s="101"/>
    </row>
    <row r="18" spans="2:19" x14ac:dyDescent="0.2">
      <c r="B18" s="134"/>
      <c r="C18" s="121" t="s">
        <v>6</v>
      </c>
      <c r="D18" s="137">
        <f>'Downlink (UHF)'!C15</f>
        <v>-149.47493881386129</v>
      </c>
      <c r="E18" s="122" t="s">
        <v>8</v>
      </c>
      <c r="F18" s="134"/>
      <c r="G18" s="101"/>
      <c r="H18" s="101"/>
      <c r="I18" s="134"/>
      <c r="J18" s="121" t="s">
        <v>6</v>
      </c>
      <c r="K18" s="137">
        <f>'Uplink (VHF)'!C15</f>
        <v>-139.93861220057357</v>
      </c>
      <c r="L18" s="122" t="s">
        <v>8</v>
      </c>
      <c r="M18" s="134"/>
      <c r="N18" s="101"/>
      <c r="O18" s="101"/>
      <c r="P18" s="101"/>
      <c r="Q18" s="101"/>
      <c r="R18" s="101"/>
      <c r="S18" s="101"/>
    </row>
    <row r="19" spans="2:19" x14ac:dyDescent="0.2">
      <c r="B19" s="134"/>
      <c r="C19" s="115" t="s">
        <v>183</v>
      </c>
      <c r="D19" s="102">
        <f>'Downlink (UHF)'!C17</f>
        <v>-0.8</v>
      </c>
      <c r="E19" s="116" t="s">
        <v>8</v>
      </c>
      <c r="F19" s="134"/>
      <c r="G19" s="101"/>
      <c r="H19" s="101"/>
      <c r="I19" s="134"/>
      <c r="J19" s="115" t="s">
        <v>183</v>
      </c>
      <c r="K19" s="102">
        <f>'Uplink (VHF)'!C17</f>
        <v>-0.8</v>
      </c>
      <c r="L19" s="116" t="s">
        <v>8</v>
      </c>
      <c r="M19" s="134"/>
      <c r="N19" s="101"/>
      <c r="O19" s="101"/>
      <c r="P19" s="101"/>
      <c r="Q19" s="101"/>
      <c r="R19" s="101"/>
      <c r="S19" s="101"/>
    </row>
    <row r="20" spans="2:19" x14ac:dyDescent="0.2">
      <c r="B20" s="134"/>
      <c r="C20" s="118" t="s">
        <v>7</v>
      </c>
      <c r="D20" s="103">
        <v>-1</v>
      </c>
      <c r="E20" s="119" t="s">
        <v>8</v>
      </c>
      <c r="F20" s="134"/>
      <c r="G20" s="101"/>
      <c r="H20" s="101"/>
      <c r="I20" s="134"/>
      <c r="J20" s="118" t="s">
        <v>7</v>
      </c>
      <c r="K20" s="103">
        <v>-1</v>
      </c>
      <c r="L20" s="119" t="s">
        <v>8</v>
      </c>
      <c r="M20" s="134"/>
      <c r="N20" s="101"/>
      <c r="O20" s="101"/>
      <c r="P20" s="101"/>
      <c r="Q20" s="101"/>
      <c r="R20" s="101"/>
      <c r="S20" s="101"/>
    </row>
    <row r="21" spans="2:19" x14ac:dyDescent="0.2">
      <c r="B21" s="134"/>
      <c r="C21" s="126"/>
      <c r="D21" s="102"/>
      <c r="E21" s="116"/>
      <c r="F21" s="134"/>
      <c r="G21" s="101"/>
      <c r="H21" s="101"/>
      <c r="I21" s="134"/>
      <c r="J21" s="126"/>
      <c r="K21" s="102"/>
      <c r="L21" s="116"/>
      <c r="M21" s="134"/>
      <c r="N21" s="101"/>
      <c r="O21" s="101"/>
      <c r="P21" s="101"/>
      <c r="Q21" s="101"/>
      <c r="R21" s="101"/>
      <c r="S21" s="101"/>
    </row>
    <row r="22" spans="2:19" x14ac:dyDescent="0.2">
      <c r="B22" s="134"/>
      <c r="C22" s="120" t="s">
        <v>69</v>
      </c>
      <c r="D22" s="102"/>
      <c r="E22" s="116"/>
      <c r="F22" s="134"/>
      <c r="G22" s="101"/>
      <c r="H22" s="101"/>
      <c r="I22" s="134"/>
      <c r="J22" s="120" t="s">
        <v>62</v>
      </c>
      <c r="K22" s="102"/>
      <c r="L22" s="116"/>
      <c r="M22" s="134"/>
      <c r="N22" s="101"/>
      <c r="O22" s="101"/>
      <c r="P22" s="101"/>
      <c r="Q22" s="101"/>
      <c r="R22" s="101"/>
      <c r="S22" s="101"/>
    </row>
    <row r="23" spans="2:19" x14ac:dyDescent="0.2">
      <c r="B23" s="134"/>
      <c r="C23" s="121" t="s">
        <v>22</v>
      </c>
      <c r="D23" s="104">
        <f>'Downlink (UHF)'!C23</f>
        <v>-1</v>
      </c>
      <c r="E23" s="122" t="s">
        <v>8</v>
      </c>
      <c r="F23" s="134"/>
      <c r="G23" s="101"/>
      <c r="H23" s="101"/>
      <c r="I23" s="134"/>
      <c r="J23" s="121" t="s">
        <v>22</v>
      </c>
      <c r="K23" s="104">
        <f>'Uplink (VHF)'!C23</f>
        <v>-9.56</v>
      </c>
      <c r="L23" s="122" t="s">
        <v>8</v>
      </c>
      <c r="M23" s="134"/>
      <c r="N23" s="101"/>
      <c r="O23" s="101"/>
      <c r="P23" s="101"/>
      <c r="Q23" s="101"/>
      <c r="R23" s="101"/>
      <c r="S23" s="101"/>
    </row>
    <row r="24" spans="2:19" x14ac:dyDescent="0.2">
      <c r="B24" s="134"/>
      <c r="C24" s="115" t="s">
        <v>77</v>
      </c>
      <c r="D24" s="102">
        <f>'Downlink (UHF)'!C24</f>
        <v>-164.91402622330449</v>
      </c>
      <c r="E24" s="116" t="s">
        <v>59</v>
      </c>
      <c r="F24" s="134"/>
      <c r="G24" s="101"/>
      <c r="H24" s="101"/>
      <c r="I24" s="134"/>
      <c r="J24" s="115" t="s">
        <v>175</v>
      </c>
      <c r="K24" s="102">
        <f>'Uplink (VHF)'!C24</f>
        <v>-127.05891215721338</v>
      </c>
      <c r="L24" s="116" t="s">
        <v>59</v>
      </c>
      <c r="M24" s="134"/>
      <c r="N24" s="101"/>
      <c r="O24" s="101"/>
      <c r="P24" s="101"/>
      <c r="Q24" s="101"/>
      <c r="R24" s="101"/>
      <c r="S24" s="101"/>
    </row>
    <row r="25" spans="2:19" x14ac:dyDescent="0.2">
      <c r="B25" s="134"/>
      <c r="C25" s="115" t="s">
        <v>25</v>
      </c>
      <c r="D25" s="102">
        <f>'Downlink (UHF)'!C25</f>
        <v>24.919999999999998</v>
      </c>
      <c r="E25" s="116" t="s">
        <v>8</v>
      </c>
      <c r="F25" s="134"/>
      <c r="G25" s="101"/>
      <c r="H25" s="101"/>
      <c r="I25" s="134"/>
      <c r="J25" s="115" t="s">
        <v>25</v>
      </c>
      <c r="K25" s="102">
        <f>'Uplink (VHF)'!C25</f>
        <v>0.6</v>
      </c>
      <c r="L25" s="116" t="s">
        <v>180</v>
      </c>
      <c r="M25" s="134"/>
      <c r="N25" s="101"/>
      <c r="O25" s="101"/>
      <c r="P25" s="101"/>
      <c r="Q25" s="101"/>
      <c r="R25" s="101"/>
      <c r="S25" s="101"/>
    </row>
    <row r="26" spans="2:19" x14ac:dyDescent="0.2">
      <c r="B26" s="134"/>
      <c r="C26" s="115" t="s">
        <v>132</v>
      </c>
      <c r="D26" s="136">
        <f>'Downlink (UHF)'!C28</f>
        <v>300.8321352899361</v>
      </c>
      <c r="E26" s="116" t="s">
        <v>29</v>
      </c>
      <c r="F26" s="134"/>
      <c r="G26" s="101"/>
      <c r="H26" s="101"/>
      <c r="I26" s="134"/>
      <c r="J26" s="115" t="s">
        <v>132</v>
      </c>
      <c r="K26" s="136">
        <f>'Uplink (VHF)'!C26</f>
        <v>607.17777777777781</v>
      </c>
      <c r="L26" s="116" t="s">
        <v>29</v>
      </c>
      <c r="M26" s="134"/>
      <c r="N26" s="101"/>
      <c r="O26" s="101"/>
      <c r="P26" s="101"/>
      <c r="Q26" s="101"/>
      <c r="R26" s="101"/>
      <c r="S26" s="101"/>
    </row>
    <row r="27" spans="2:19" x14ac:dyDescent="0.2">
      <c r="B27" s="134"/>
      <c r="C27" s="115" t="s">
        <v>74</v>
      </c>
      <c r="D27" s="102">
        <f>'Downlink (UHF)'!C36</f>
        <v>0.13675773686584591</v>
      </c>
      <c r="E27" s="116" t="s">
        <v>76</v>
      </c>
      <c r="F27" s="134"/>
      <c r="G27" s="101"/>
      <c r="H27" s="101"/>
      <c r="I27" s="134"/>
      <c r="J27" s="115" t="s">
        <v>177</v>
      </c>
      <c r="K27" s="102">
        <f>'Uplink (VHF)'!C36</f>
        <v>-27.233158683467558</v>
      </c>
      <c r="L27" s="116" t="s">
        <v>76</v>
      </c>
      <c r="M27" s="134"/>
      <c r="N27" s="101"/>
      <c r="O27" s="101"/>
      <c r="P27" s="101"/>
      <c r="Q27" s="101"/>
      <c r="R27" s="101"/>
      <c r="S27" s="101"/>
    </row>
    <row r="28" spans="2:19" x14ac:dyDescent="0.2">
      <c r="B28" s="134"/>
      <c r="C28" s="118" t="s">
        <v>72</v>
      </c>
      <c r="D28" s="103">
        <f>'Downlink (UHF)'!C37</f>
        <v>63.822731513561365</v>
      </c>
      <c r="E28" s="119" t="s">
        <v>75</v>
      </c>
      <c r="F28" s="134"/>
      <c r="G28" s="101"/>
      <c r="H28" s="101"/>
      <c r="I28" s="134"/>
      <c r="J28" s="118" t="s">
        <v>176</v>
      </c>
      <c r="K28" s="103">
        <f>'Uplink (VHF)'!C37</f>
        <v>74.307929159319059</v>
      </c>
      <c r="L28" s="119" t="s">
        <v>75</v>
      </c>
      <c r="M28" s="134"/>
      <c r="N28" s="101"/>
      <c r="O28" s="101"/>
      <c r="P28" s="101"/>
      <c r="Q28" s="101"/>
      <c r="R28" s="101"/>
      <c r="S28" s="101"/>
    </row>
    <row r="29" spans="2:19" x14ac:dyDescent="0.2">
      <c r="B29" s="134"/>
      <c r="C29" s="126"/>
      <c r="D29" s="102"/>
      <c r="E29" s="116"/>
      <c r="F29" s="134"/>
      <c r="G29" s="101"/>
      <c r="H29" s="101"/>
      <c r="I29" s="134"/>
      <c r="J29" s="126"/>
      <c r="K29" s="102"/>
      <c r="L29" s="116"/>
      <c r="M29" s="134"/>
      <c r="N29" s="101"/>
      <c r="O29" s="101"/>
      <c r="P29" s="101"/>
      <c r="Q29" s="101"/>
      <c r="R29" s="101"/>
      <c r="S29" s="101"/>
    </row>
    <row r="30" spans="2:19" x14ac:dyDescent="0.2">
      <c r="B30" s="134"/>
      <c r="C30" s="123" t="s">
        <v>179</v>
      </c>
      <c r="D30" s="102"/>
      <c r="E30" s="116"/>
      <c r="F30" s="134"/>
      <c r="G30" s="101"/>
      <c r="H30" s="101"/>
      <c r="I30" s="134"/>
      <c r="J30" s="123" t="s">
        <v>179</v>
      </c>
      <c r="K30" s="102"/>
      <c r="L30" s="116"/>
      <c r="M30" s="134"/>
      <c r="N30" s="101"/>
      <c r="O30" s="101"/>
      <c r="P30" s="101"/>
      <c r="Q30" s="101"/>
      <c r="R30" s="101"/>
      <c r="S30" s="101"/>
    </row>
    <row r="31" spans="2:19" x14ac:dyDescent="0.2">
      <c r="B31" s="134"/>
      <c r="C31" s="124" t="s">
        <v>45</v>
      </c>
      <c r="D31" s="106">
        <f>'Downlink (UHF)'!C40</f>
        <v>19200</v>
      </c>
      <c r="E31" s="122" t="s">
        <v>166</v>
      </c>
      <c r="F31" s="134"/>
      <c r="G31" s="101"/>
      <c r="H31" s="101"/>
      <c r="I31" s="134"/>
      <c r="J31" s="124" t="s">
        <v>45</v>
      </c>
      <c r="K31" s="106">
        <f>'Uplink (VHF)'!C40</f>
        <v>9600</v>
      </c>
      <c r="L31" s="122"/>
      <c r="M31" s="134"/>
      <c r="N31" s="101"/>
      <c r="O31" s="101"/>
      <c r="P31" s="101"/>
      <c r="Q31" s="101"/>
      <c r="R31" s="101"/>
      <c r="S31" s="101"/>
    </row>
    <row r="32" spans="2:19" x14ac:dyDescent="0.2">
      <c r="B32" s="134"/>
      <c r="C32" s="125" t="s">
        <v>167</v>
      </c>
      <c r="D32" s="102">
        <f>10*LOG10(D31)</f>
        <v>42.833012287035494</v>
      </c>
      <c r="E32" s="116" t="s">
        <v>75</v>
      </c>
      <c r="F32" s="134"/>
      <c r="G32" s="101"/>
      <c r="H32" s="101"/>
      <c r="I32" s="134"/>
      <c r="J32" s="117" t="s">
        <v>167</v>
      </c>
      <c r="K32" s="102">
        <f>'Uplink (VHF)'!C41</f>
        <v>39.822712330395682</v>
      </c>
      <c r="L32" s="116" t="s">
        <v>75</v>
      </c>
      <c r="M32" s="134"/>
      <c r="N32" s="101"/>
      <c r="O32" s="101"/>
      <c r="P32" s="101"/>
      <c r="Q32" s="101"/>
      <c r="R32" s="101"/>
      <c r="S32" s="101"/>
    </row>
    <row r="33" spans="2:19" x14ac:dyDescent="0.2">
      <c r="B33" s="134"/>
      <c r="C33" s="163" t="s">
        <v>264</v>
      </c>
      <c r="D33" s="164">
        <f>'Downlink (UHF)'!C42</f>
        <v>27000</v>
      </c>
      <c r="E33" s="116" t="s">
        <v>265</v>
      </c>
      <c r="F33" s="134"/>
      <c r="G33" s="101"/>
      <c r="H33" s="101"/>
      <c r="I33" s="134"/>
      <c r="J33" s="163" t="s">
        <v>264</v>
      </c>
      <c r="K33" s="164">
        <f>'Uplink (VHF)'!C42</f>
        <v>17000</v>
      </c>
      <c r="L33" s="116" t="s">
        <v>265</v>
      </c>
      <c r="M33" s="134"/>
      <c r="N33" s="101"/>
      <c r="O33" s="101"/>
      <c r="P33" s="101"/>
      <c r="Q33" s="101"/>
      <c r="R33" s="101"/>
      <c r="S33" s="101"/>
    </row>
    <row r="34" spans="2:19" x14ac:dyDescent="0.2">
      <c r="B34" s="134"/>
      <c r="C34" s="163" t="s">
        <v>266</v>
      </c>
      <c r="D34" s="102">
        <f>'Downlink (UHF)'!C43</f>
        <v>-1.4806253545543768</v>
      </c>
      <c r="E34" s="116" t="s">
        <v>8</v>
      </c>
      <c r="F34" s="134"/>
      <c r="G34" s="101"/>
      <c r="H34" s="101"/>
      <c r="I34" s="134"/>
      <c r="J34" s="163" t="s">
        <v>266</v>
      </c>
      <c r="K34" s="165">
        <f>'Uplink (VHF)'!C43</f>
        <v>-2.481776883387055</v>
      </c>
      <c r="L34" s="116" t="s">
        <v>8</v>
      </c>
      <c r="M34" s="134"/>
      <c r="N34" s="101"/>
      <c r="O34" s="101"/>
      <c r="P34" s="101"/>
      <c r="Q34" s="101"/>
      <c r="R34" s="101"/>
      <c r="S34" s="101"/>
    </row>
    <row r="35" spans="2:19" x14ac:dyDescent="0.2">
      <c r="B35" s="134"/>
      <c r="C35" s="126" t="s">
        <v>49</v>
      </c>
      <c r="D35" s="135">
        <f>'Downlink (UHF)'!C44</f>
        <v>1.0000000000000001E-5</v>
      </c>
      <c r="E35" s="116"/>
      <c r="F35" s="134"/>
      <c r="G35" s="101"/>
      <c r="H35" s="101"/>
      <c r="I35" s="134"/>
      <c r="J35" s="126" t="s">
        <v>49</v>
      </c>
      <c r="K35" s="135">
        <f>'Uplink (VHF)'!C44</f>
        <v>1.0000000000000001E-5</v>
      </c>
      <c r="L35" s="116"/>
      <c r="M35" s="134"/>
      <c r="N35" s="101"/>
      <c r="O35" s="101"/>
      <c r="P35" s="101"/>
      <c r="Q35" s="101"/>
      <c r="R35" s="101"/>
      <c r="S35" s="101"/>
    </row>
    <row r="36" spans="2:19" x14ac:dyDescent="0.2">
      <c r="B36" s="134"/>
      <c r="C36" s="126" t="s">
        <v>47</v>
      </c>
      <c r="D36" s="102">
        <f>'Downlink (UHF)'!C45</f>
        <v>19.509093871971473</v>
      </c>
      <c r="E36" s="116" t="s">
        <v>8</v>
      </c>
      <c r="F36" s="134"/>
      <c r="G36" s="101"/>
      <c r="H36" s="101"/>
      <c r="I36" s="134"/>
      <c r="J36" s="126" t="s">
        <v>47</v>
      </c>
      <c r="K36" s="102">
        <f>'Uplink (VHF)'!C45</f>
        <v>32.003439945536307</v>
      </c>
      <c r="L36" s="116" t="s">
        <v>8</v>
      </c>
      <c r="M36" s="134"/>
      <c r="N36" s="101"/>
      <c r="O36" s="101"/>
      <c r="P36" s="101"/>
      <c r="Q36" s="101"/>
      <c r="R36" s="101"/>
      <c r="S36" s="101"/>
    </row>
    <row r="37" spans="2:19" x14ac:dyDescent="0.2">
      <c r="B37" s="134"/>
      <c r="C37" s="126" t="s">
        <v>262</v>
      </c>
      <c r="D37" s="102">
        <f>'Downlink (UHF)'!C47</f>
        <v>15.8</v>
      </c>
      <c r="E37" s="116" t="s">
        <v>8</v>
      </c>
      <c r="F37" s="134"/>
      <c r="G37" s="101"/>
      <c r="H37" s="101"/>
      <c r="I37" s="134"/>
      <c r="J37" s="126" t="s">
        <v>262</v>
      </c>
      <c r="K37" s="102">
        <f>'Uplink (VHF)'!C47</f>
        <v>20</v>
      </c>
      <c r="L37" s="116" t="s">
        <v>8</v>
      </c>
      <c r="M37" s="134"/>
      <c r="N37" s="101"/>
      <c r="O37" s="101"/>
      <c r="P37" s="101"/>
      <c r="Q37" s="101"/>
      <c r="R37" s="101"/>
      <c r="S37" s="101"/>
    </row>
    <row r="38" spans="2:19" x14ac:dyDescent="0.2">
      <c r="B38" s="134"/>
      <c r="C38" s="126"/>
      <c r="D38" s="102"/>
      <c r="E38" s="116"/>
      <c r="F38" s="134"/>
      <c r="G38" s="101"/>
      <c r="H38" s="101"/>
      <c r="I38" s="134"/>
      <c r="J38" s="126"/>
      <c r="K38" s="102"/>
      <c r="L38" s="116"/>
      <c r="M38" s="134"/>
      <c r="N38" s="101"/>
      <c r="O38" s="101"/>
      <c r="P38" s="101"/>
      <c r="Q38" s="101"/>
      <c r="R38" s="101"/>
      <c r="S38" s="101"/>
    </row>
    <row r="39" spans="2:19" x14ac:dyDescent="0.2">
      <c r="B39" s="133"/>
      <c r="C39" s="127" t="s">
        <v>48</v>
      </c>
      <c r="D39" s="105">
        <f>D36-D37</f>
        <v>3.7090938719714721</v>
      </c>
      <c r="E39" s="114" t="s">
        <v>8</v>
      </c>
      <c r="F39" s="133"/>
      <c r="G39" s="101"/>
      <c r="H39" s="101"/>
      <c r="I39" s="133"/>
      <c r="J39" s="127" t="s">
        <v>48</v>
      </c>
      <c r="K39" s="105">
        <f>'Uplink (VHF)'!C49</f>
        <v>12.003439945536321</v>
      </c>
      <c r="L39" s="114" t="s">
        <v>8</v>
      </c>
      <c r="M39" s="133"/>
      <c r="N39" s="101"/>
      <c r="O39" s="101"/>
      <c r="P39" s="101"/>
      <c r="Q39" s="101"/>
      <c r="R39" s="101"/>
      <c r="S39" s="101"/>
    </row>
    <row r="40" spans="2:19" ht="17" thickBot="1" x14ac:dyDescent="0.25">
      <c r="B40" s="134"/>
      <c r="C40" s="128"/>
      <c r="D40" s="129"/>
      <c r="E40" s="130"/>
      <c r="F40" s="134"/>
      <c r="G40" s="101"/>
      <c r="H40" s="101"/>
      <c r="I40" s="134"/>
      <c r="J40" s="128"/>
      <c r="K40" s="129"/>
      <c r="L40" s="130"/>
      <c r="M40" s="134"/>
      <c r="N40" s="101"/>
      <c r="O40" s="101"/>
      <c r="P40" s="101"/>
      <c r="Q40" s="101"/>
      <c r="R40" s="101"/>
      <c r="S40" s="101"/>
    </row>
    <row r="41" spans="2:19" x14ac:dyDescent="0.2">
      <c r="B41" s="131"/>
      <c r="C41" s="131"/>
      <c r="D41" s="131"/>
      <c r="E41" s="131"/>
      <c r="F41" s="131"/>
      <c r="G41" s="101"/>
      <c r="H41" s="101"/>
      <c r="I41" s="131"/>
      <c r="J41" s="131"/>
      <c r="K41" s="131"/>
      <c r="L41" s="131"/>
      <c r="M41" s="131"/>
      <c r="N41" s="101"/>
      <c r="O41" s="101"/>
      <c r="P41" s="101"/>
      <c r="Q41" s="101"/>
      <c r="R41" s="101"/>
      <c r="S41" s="101"/>
    </row>
    <row r="42" spans="2:19" x14ac:dyDescent="0.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 x14ac:dyDescent="0.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 x14ac:dyDescent="0.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 x14ac:dyDescent="0.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 x14ac:dyDescent="0.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 s="101" customFormat="1" x14ac:dyDescent="0.2"/>
    <row r="48" spans="2:19" s="101" customFormat="1" x14ac:dyDescent="0.2"/>
    <row r="49" s="101" customFormat="1" x14ac:dyDescent="0.2"/>
    <row r="50" s="101" customFormat="1" x14ac:dyDescent="0.2"/>
    <row r="51" s="101" customFormat="1" x14ac:dyDescent="0.2"/>
    <row r="52" s="101" customFormat="1" x14ac:dyDescent="0.2"/>
    <row r="53" s="101" customFormat="1" x14ac:dyDescent="0.2"/>
    <row r="54" s="101" customFormat="1" x14ac:dyDescent="0.2"/>
    <row r="55" s="101" customFormat="1" x14ac:dyDescent="0.2"/>
    <row r="56" s="101" customFormat="1" x14ac:dyDescent="0.2"/>
    <row r="57" s="101" customFormat="1" x14ac:dyDescent="0.2"/>
    <row r="58" s="101" customFormat="1" x14ac:dyDescent="0.2"/>
    <row r="59" s="101" customFormat="1" x14ac:dyDescent="0.2"/>
    <row r="60" s="101" customFormat="1" x14ac:dyDescent="0.2"/>
    <row r="61" s="101" customFormat="1" x14ac:dyDescent="0.2"/>
    <row r="62" s="101" customFormat="1" x14ac:dyDescent="0.2"/>
    <row r="63" s="101" customFormat="1" x14ac:dyDescent="0.2"/>
    <row r="64" s="101" customFormat="1" x14ac:dyDescent="0.2"/>
    <row r="65" s="101" customFormat="1" x14ac:dyDescent="0.2"/>
    <row r="66" s="101" customFormat="1" x14ac:dyDescent="0.2"/>
    <row r="67" s="101" customFormat="1" x14ac:dyDescent="0.2"/>
    <row r="68" s="101" customFormat="1" x14ac:dyDescent="0.2"/>
    <row r="69" s="101" customFormat="1" x14ac:dyDescent="0.2"/>
    <row r="70" s="101" customFormat="1" x14ac:dyDescent="0.2"/>
    <row r="71" s="101" customFormat="1" x14ac:dyDescent="0.2"/>
    <row r="72" s="101" customFormat="1" x14ac:dyDescent="0.2"/>
    <row r="73" s="101" customFormat="1" x14ac:dyDescent="0.2"/>
    <row r="74" s="101" customFormat="1" x14ac:dyDescent="0.2"/>
    <row r="75" s="101" customFormat="1" x14ac:dyDescent="0.2"/>
    <row r="76" s="101" customFormat="1" x14ac:dyDescent="0.2"/>
    <row r="77" s="101" customFormat="1" x14ac:dyDescent="0.2"/>
    <row r="78" s="101" customFormat="1" x14ac:dyDescent="0.2"/>
    <row r="79" s="101" customFormat="1" x14ac:dyDescent="0.2"/>
    <row r="80" s="101" customFormat="1" x14ac:dyDescent="0.2"/>
    <row r="81" s="101" customFormat="1" x14ac:dyDescent="0.2"/>
    <row r="82" s="101" customFormat="1" x14ac:dyDescent="0.2"/>
    <row r="83" s="101" customFormat="1" x14ac:dyDescent="0.2"/>
    <row r="84" s="101" customFormat="1" x14ac:dyDescent="0.2"/>
    <row r="85" s="101" customFormat="1" x14ac:dyDescent="0.2"/>
    <row r="86" s="101" customFormat="1" x14ac:dyDescent="0.2"/>
    <row r="87" s="101" customFormat="1" x14ac:dyDescent="0.2"/>
    <row r="88" s="101" customFormat="1" x14ac:dyDescent="0.2"/>
    <row r="89" s="101" customFormat="1" x14ac:dyDescent="0.2"/>
    <row r="90" s="101" customFormat="1" x14ac:dyDescent="0.2"/>
    <row r="91" s="101" customFormat="1" x14ac:dyDescent="0.2"/>
    <row r="92" s="101" customFormat="1" x14ac:dyDescent="0.2"/>
    <row r="93" s="101" customFormat="1" x14ac:dyDescent="0.2"/>
    <row r="94" s="101" customFormat="1" x14ac:dyDescent="0.2"/>
    <row r="95" s="101" customFormat="1" x14ac:dyDescent="0.2"/>
    <row r="96" s="101" customFormat="1" x14ac:dyDescent="0.2"/>
    <row r="97" s="101" customFormat="1" x14ac:dyDescent="0.2"/>
    <row r="98" s="101" customFormat="1" x14ac:dyDescent="0.2"/>
    <row r="99" s="101" customFormat="1" x14ac:dyDescent="0.2"/>
    <row r="100" s="101" customFormat="1" x14ac:dyDescent="0.2"/>
    <row r="101" s="101" customFormat="1" x14ac:dyDescent="0.2"/>
    <row r="102" s="101" customFormat="1" x14ac:dyDescent="0.2"/>
    <row r="103" s="101" customFormat="1" x14ac:dyDescent="0.2"/>
    <row r="104" s="101" customFormat="1" x14ac:dyDescent="0.2"/>
    <row r="105" s="101" customFormat="1" x14ac:dyDescent="0.2"/>
    <row r="106" s="101" customFormat="1" x14ac:dyDescent="0.2"/>
    <row r="107" s="101" customFormat="1" x14ac:dyDescent="0.2"/>
    <row r="108" s="101" customFormat="1" x14ac:dyDescent="0.2"/>
    <row r="109" s="101" customFormat="1" x14ac:dyDescent="0.2"/>
    <row r="110" s="101" customFormat="1" x14ac:dyDescent="0.2"/>
    <row r="111" s="101" customFormat="1" x14ac:dyDescent="0.2"/>
    <row r="112" s="101" customFormat="1" x14ac:dyDescent="0.2"/>
    <row r="113" s="101" customFormat="1" x14ac:dyDescent="0.2"/>
    <row r="114" s="101" customFormat="1" x14ac:dyDescent="0.2"/>
    <row r="115" s="101" customFormat="1" x14ac:dyDescent="0.2"/>
    <row r="116" s="101" customFormat="1" x14ac:dyDescent="0.2"/>
    <row r="117" s="101" customFormat="1" x14ac:dyDescent="0.2"/>
    <row r="118" s="101" customFormat="1" x14ac:dyDescent="0.2"/>
    <row r="119" s="101" customFormat="1" x14ac:dyDescent="0.2"/>
    <row r="120" s="101" customFormat="1" x14ac:dyDescent="0.2"/>
    <row r="121" s="101" customFormat="1" x14ac:dyDescent="0.2"/>
    <row r="122" s="101" customFormat="1" x14ac:dyDescent="0.2"/>
    <row r="123" s="101" customFormat="1" x14ac:dyDescent="0.2"/>
    <row r="124" s="101" customFormat="1" x14ac:dyDescent="0.2"/>
    <row r="125" s="101" customFormat="1" x14ac:dyDescent="0.2"/>
    <row r="126" s="101" customFormat="1" x14ac:dyDescent="0.2"/>
    <row r="127" s="101" customFormat="1" x14ac:dyDescent="0.2"/>
    <row r="128" s="101" customFormat="1" x14ac:dyDescent="0.2"/>
    <row r="129" s="101" customFormat="1" x14ac:dyDescent="0.2"/>
    <row r="130" s="101" customFormat="1" x14ac:dyDescent="0.2"/>
    <row r="131" s="101" customFormat="1" x14ac:dyDescent="0.2"/>
    <row r="132" s="101" customFormat="1" x14ac:dyDescent="0.2"/>
    <row r="133" s="101" customFormat="1" x14ac:dyDescent="0.2"/>
    <row r="134" s="101" customFormat="1" x14ac:dyDescent="0.2"/>
    <row r="135" s="101" customFormat="1" x14ac:dyDescent="0.2"/>
    <row r="136" s="101" customFormat="1" x14ac:dyDescent="0.2"/>
    <row r="137" s="101" customFormat="1" x14ac:dyDescent="0.2"/>
    <row r="138" s="101" customFormat="1" x14ac:dyDescent="0.2"/>
    <row r="139" s="101" customFormat="1" x14ac:dyDescent="0.2"/>
    <row r="140" s="101" customFormat="1" x14ac:dyDescent="0.2"/>
    <row r="141" s="101" customFormat="1" x14ac:dyDescent="0.2"/>
    <row r="142" s="101" customFormat="1" x14ac:dyDescent="0.2"/>
    <row r="143" s="101" customFormat="1" x14ac:dyDescent="0.2"/>
    <row r="144" s="101" customFormat="1" x14ac:dyDescent="0.2"/>
    <row r="145" s="101" customFormat="1" x14ac:dyDescent="0.2"/>
    <row r="146" s="101" customFormat="1" x14ac:dyDescent="0.2"/>
    <row r="147" s="101" customFormat="1" x14ac:dyDescent="0.2"/>
    <row r="148" s="101" customFormat="1" x14ac:dyDescent="0.2"/>
    <row r="149" s="101" customFormat="1" x14ac:dyDescent="0.2"/>
    <row r="150" s="101" customFormat="1" x14ac:dyDescent="0.2"/>
    <row r="151" s="101" customFormat="1" x14ac:dyDescent="0.2"/>
    <row r="152" s="101" customFormat="1" x14ac:dyDescent="0.2"/>
    <row r="153" s="101" customFormat="1" x14ac:dyDescent="0.2"/>
    <row r="154" s="101" customFormat="1" x14ac:dyDescent="0.2"/>
    <row r="155" s="101" customFormat="1" x14ac:dyDescent="0.2"/>
    <row r="156" s="101" customFormat="1" x14ac:dyDescent="0.2"/>
    <row r="157" s="101" customFormat="1" x14ac:dyDescent="0.2"/>
    <row r="158" s="101" customFormat="1" x14ac:dyDescent="0.2"/>
    <row r="159" s="101" customFormat="1" x14ac:dyDescent="0.2"/>
    <row r="160" s="101" customFormat="1" x14ac:dyDescent="0.2"/>
    <row r="161" s="101" customFormat="1" x14ac:dyDescent="0.2"/>
    <row r="162" s="101" customFormat="1" x14ac:dyDescent="0.2"/>
    <row r="163" s="101" customFormat="1" x14ac:dyDescent="0.2"/>
    <row r="164" s="101" customFormat="1" x14ac:dyDescent="0.2"/>
    <row r="165" s="101" customFormat="1" x14ac:dyDescent="0.2"/>
    <row r="166" s="101" customFormat="1" x14ac:dyDescent="0.2"/>
    <row r="167" s="101" customFormat="1" x14ac:dyDescent="0.2"/>
    <row r="168" s="101" customFormat="1" x14ac:dyDescent="0.2"/>
    <row r="169" s="101" customFormat="1" x14ac:dyDescent="0.2"/>
    <row r="170" s="101" customFormat="1" x14ac:dyDescent="0.2"/>
    <row r="171" s="101" customFormat="1" x14ac:dyDescent="0.2"/>
    <row r="172" s="101" customFormat="1" x14ac:dyDescent="0.2"/>
    <row r="173" s="101" customFormat="1" x14ac:dyDescent="0.2"/>
    <row r="174" s="101" customFormat="1" x14ac:dyDescent="0.2"/>
    <row r="175" s="101" customFormat="1" x14ac:dyDescent="0.2"/>
    <row r="176" s="101" customFormat="1" x14ac:dyDescent="0.2"/>
    <row r="177" s="101" customFormat="1" x14ac:dyDescent="0.2"/>
    <row r="178" s="101" customFormat="1" x14ac:dyDescent="0.2"/>
    <row r="179" s="101" customFormat="1" x14ac:dyDescent="0.2"/>
    <row r="180" s="101" customFormat="1" x14ac:dyDescent="0.2"/>
    <row r="181" s="101" customFormat="1" x14ac:dyDescent="0.2"/>
    <row r="182" s="101" customFormat="1" x14ac:dyDescent="0.2"/>
    <row r="183" s="101" customFormat="1" x14ac:dyDescent="0.2"/>
    <row r="184" s="101" customFormat="1" x14ac:dyDescent="0.2"/>
    <row r="185" s="101" customFormat="1" x14ac:dyDescent="0.2"/>
    <row r="186" s="101" customFormat="1" x14ac:dyDescent="0.2"/>
    <row r="187" s="101" customFormat="1" x14ac:dyDescent="0.2"/>
    <row r="188" s="101" customFormat="1" x14ac:dyDescent="0.2"/>
    <row r="189" s="101" customFormat="1" x14ac:dyDescent="0.2"/>
    <row r="190" s="101" customFormat="1" x14ac:dyDescent="0.2"/>
    <row r="191" s="101" customFormat="1" x14ac:dyDescent="0.2"/>
    <row r="192" s="101" customFormat="1" x14ac:dyDescent="0.2"/>
    <row r="193" s="101" customFormat="1" x14ac:dyDescent="0.2"/>
    <row r="194" s="101" customFormat="1" x14ac:dyDescent="0.2"/>
    <row r="195" s="101" customFormat="1" x14ac:dyDescent="0.2"/>
    <row r="196" s="101" customFormat="1" x14ac:dyDescent="0.2"/>
    <row r="197" s="101" customFormat="1" x14ac:dyDescent="0.2"/>
    <row r="198" s="101" customFormat="1" x14ac:dyDescent="0.2"/>
    <row r="199" s="101" customFormat="1" x14ac:dyDescent="0.2"/>
    <row r="200" s="101" customFormat="1" x14ac:dyDescent="0.2"/>
    <row r="201" s="101" customFormat="1" x14ac:dyDescent="0.2"/>
    <row r="202" s="101" customFormat="1" x14ac:dyDescent="0.2"/>
    <row r="203" s="101" customFormat="1" x14ac:dyDescent="0.2"/>
    <row r="204" s="101" customFormat="1" x14ac:dyDescent="0.2"/>
    <row r="205" s="101" customFormat="1" x14ac:dyDescent="0.2"/>
    <row r="206" s="101" customFormat="1" x14ac:dyDescent="0.2"/>
    <row r="207" s="101" customFormat="1" x14ac:dyDescent="0.2"/>
    <row r="208" s="101" customFormat="1" x14ac:dyDescent="0.2"/>
    <row r="209" s="101" customFormat="1" x14ac:dyDescent="0.2"/>
    <row r="210" s="101" customFormat="1" x14ac:dyDescent="0.2"/>
    <row r="211" s="101" customFormat="1" x14ac:dyDescent="0.2"/>
    <row r="212" s="101" customFormat="1" x14ac:dyDescent="0.2"/>
    <row r="213" s="101" customFormat="1" x14ac:dyDescent="0.2"/>
    <row r="214" s="101" customFormat="1" x14ac:dyDescent="0.2"/>
    <row r="215" s="101" customFormat="1" x14ac:dyDescent="0.2"/>
    <row r="216" s="101" customFormat="1" x14ac:dyDescent="0.2"/>
    <row r="217" s="101" customFormat="1" x14ac:dyDescent="0.2"/>
    <row r="218" s="101" customFormat="1" x14ac:dyDescent="0.2"/>
    <row r="219" s="101" customFormat="1" x14ac:dyDescent="0.2"/>
    <row r="220" s="101" customFormat="1" x14ac:dyDescent="0.2"/>
    <row r="221" s="101" customFormat="1" x14ac:dyDescent="0.2"/>
    <row r="222" s="101" customFormat="1" x14ac:dyDescent="0.2"/>
    <row r="223" s="101" customFormat="1" x14ac:dyDescent="0.2"/>
    <row r="224" s="101" customFormat="1" x14ac:dyDescent="0.2"/>
    <row r="225" s="101" customFormat="1" x14ac:dyDescent="0.2"/>
    <row r="226" s="101" customFormat="1" x14ac:dyDescent="0.2"/>
    <row r="227" s="101" customFormat="1" x14ac:dyDescent="0.2"/>
    <row r="228" s="101" customFormat="1" x14ac:dyDescent="0.2"/>
    <row r="229" s="101" customFormat="1" x14ac:dyDescent="0.2"/>
    <row r="230" s="101" customFormat="1" x14ac:dyDescent="0.2"/>
    <row r="231" s="101" customFormat="1" x14ac:dyDescent="0.2"/>
    <row r="232" s="101" customFormat="1" x14ac:dyDescent="0.2"/>
    <row r="233" s="101" customFormat="1" x14ac:dyDescent="0.2"/>
    <row r="234" s="101" customFormat="1" x14ac:dyDescent="0.2"/>
    <row r="235" s="101" customFormat="1" x14ac:dyDescent="0.2"/>
    <row r="236" s="101" customFormat="1" x14ac:dyDescent="0.2"/>
    <row r="237" s="101" customFormat="1" x14ac:dyDescent="0.2"/>
    <row r="238" s="101" customFormat="1" x14ac:dyDescent="0.2"/>
    <row r="239" s="101" customFormat="1" x14ac:dyDescent="0.2"/>
    <row r="240" s="101" customFormat="1" x14ac:dyDescent="0.2"/>
    <row r="241" s="101" customFormat="1" x14ac:dyDescent="0.2"/>
    <row r="242" s="101" customFormat="1" x14ac:dyDescent="0.2"/>
    <row r="243" s="101" customFormat="1" x14ac:dyDescent="0.2"/>
    <row r="244" s="101" customFormat="1" x14ac:dyDescent="0.2"/>
    <row r="245" s="101" customFormat="1" x14ac:dyDescent="0.2"/>
    <row r="246" s="101" customFormat="1" x14ac:dyDescent="0.2"/>
    <row r="247" s="101" customFormat="1" x14ac:dyDescent="0.2"/>
    <row r="248" s="101" customFormat="1" x14ac:dyDescent="0.2"/>
    <row r="249" s="101" customFormat="1" x14ac:dyDescent="0.2"/>
    <row r="250" s="101" customFormat="1" x14ac:dyDescent="0.2"/>
    <row r="251" s="101" customFormat="1" x14ac:dyDescent="0.2"/>
    <row r="252" s="101" customFormat="1" x14ac:dyDescent="0.2"/>
    <row r="253" s="101" customFormat="1" x14ac:dyDescent="0.2"/>
    <row r="254" s="101" customFormat="1" x14ac:dyDescent="0.2"/>
    <row r="255" s="101" customFormat="1" x14ac:dyDescent="0.2"/>
    <row r="256" s="101" customFormat="1" x14ac:dyDescent="0.2"/>
    <row r="257" s="101" customFormat="1" x14ac:dyDescent="0.2"/>
    <row r="258" s="101" customFormat="1" x14ac:dyDescent="0.2"/>
    <row r="259" s="101" customFormat="1" x14ac:dyDescent="0.2"/>
    <row r="260" s="101" customFormat="1" x14ac:dyDescent="0.2"/>
    <row r="261" s="101" customFormat="1" x14ac:dyDescent="0.2"/>
    <row r="262" s="101" customFormat="1" x14ac:dyDescent="0.2"/>
    <row r="263" s="101" customFormat="1" x14ac:dyDescent="0.2"/>
    <row r="264" s="101" customFormat="1" x14ac:dyDescent="0.2"/>
    <row r="265" s="101" customFormat="1" x14ac:dyDescent="0.2"/>
    <row r="266" s="101" customFormat="1" x14ac:dyDescent="0.2"/>
    <row r="267" s="101" customFormat="1" x14ac:dyDescent="0.2"/>
    <row r="268" s="101" customFormat="1" x14ac:dyDescent="0.2"/>
    <row r="269" s="101" customFormat="1" x14ac:dyDescent="0.2"/>
    <row r="270" s="101" customFormat="1" x14ac:dyDescent="0.2"/>
    <row r="271" s="101" customFormat="1" x14ac:dyDescent="0.2"/>
    <row r="272" s="101" customFormat="1" x14ac:dyDescent="0.2"/>
    <row r="273" s="101" customFormat="1" x14ac:dyDescent="0.2"/>
    <row r="274" s="101" customFormat="1" x14ac:dyDescent="0.2"/>
    <row r="275" s="101" customFormat="1" x14ac:dyDescent="0.2"/>
    <row r="276" s="101" customFormat="1" x14ac:dyDescent="0.2"/>
    <row r="277" s="101" customFormat="1" x14ac:dyDescent="0.2"/>
    <row r="278" s="101" customFormat="1" x14ac:dyDescent="0.2"/>
    <row r="279" s="101" customFormat="1" x14ac:dyDescent="0.2"/>
    <row r="280" s="101" customFormat="1" x14ac:dyDescent="0.2"/>
    <row r="281" s="101" customFormat="1" x14ac:dyDescent="0.2"/>
    <row r="282" s="101" customFormat="1" x14ac:dyDescent="0.2"/>
    <row r="283" s="101" customFormat="1" x14ac:dyDescent="0.2"/>
    <row r="284" s="101" customFormat="1" x14ac:dyDescent="0.2"/>
    <row r="285" s="101" customFormat="1" x14ac:dyDescent="0.2"/>
    <row r="286" s="101" customFormat="1" x14ac:dyDescent="0.2"/>
    <row r="287" s="101" customFormat="1" x14ac:dyDescent="0.2"/>
    <row r="288" s="101" customFormat="1" x14ac:dyDescent="0.2"/>
    <row r="289" s="101" customFormat="1" x14ac:dyDescent="0.2"/>
    <row r="290" s="101" customFormat="1" x14ac:dyDescent="0.2"/>
    <row r="291" s="101" customFormat="1" x14ac:dyDescent="0.2"/>
    <row r="292" s="101" customFormat="1" x14ac:dyDescent="0.2"/>
    <row r="293" s="101" customFormat="1" x14ac:dyDescent="0.2"/>
    <row r="294" s="101" customFormat="1" x14ac:dyDescent="0.2"/>
    <row r="295" s="101" customFormat="1" x14ac:dyDescent="0.2"/>
    <row r="296" s="101" customFormat="1" x14ac:dyDescent="0.2"/>
    <row r="297" s="101" customFormat="1" x14ac:dyDescent="0.2"/>
    <row r="298" s="101" customFormat="1" x14ac:dyDescent="0.2"/>
    <row r="299" s="101" customFormat="1" x14ac:dyDescent="0.2"/>
    <row r="300" s="101" customFormat="1" x14ac:dyDescent="0.2"/>
    <row r="301" s="101" customFormat="1" x14ac:dyDescent="0.2"/>
    <row r="302" s="101" customFormat="1" x14ac:dyDescent="0.2"/>
    <row r="303" s="101" customFormat="1" x14ac:dyDescent="0.2"/>
    <row r="304" s="101" customFormat="1" x14ac:dyDescent="0.2"/>
    <row r="305" s="101" customFormat="1" x14ac:dyDescent="0.2"/>
    <row r="306" s="101" customFormat="1" x14ac:dyDescent="0.2"/>
    <row r="307" s="101" customFormat="1" x14ac:dyDescent="0.2"/>
  </sheetData>
  <mergeCells count="2">
    <mergeCell ref="C3:E4"/>
    <mergeCell ref="J3:L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Ruler="0" workbookViewId="0">
      <pane ySplit="1" topLeftCell="A11" activePane="bottomLeft" state="frozen"/>
      <selection pane="bottomLeft" activeCell="D43" sqref="D43"/>
    </sheetView>
  </sheetViews>
  <sheetFormatPr baseColWidth="10" defaultColWidth="11" defaultRowHeight="16" x14ac:dyDescent="0.2"/>
  <cols>
    <col min="1" max="1" width="42.5" style="9" bestFit="1" customWidth="1"/>
    <col min="2" max="2" width="11" style="9" hidden="1" customWidth="1"/>
    <col min="3" max="3" width="6.6640625" style="9" bestFit="1" customWidth="1"/>
    <col min="4" max="4" width="7.33203125" style="9" customWidth="1"/>
    <col min="5" max="5" width="29.83203125" style="9" customWidth="1"/>
    <col min="6" max="6" width="14.6640625" style="9" customWidth="1"/>
    <col min="7" max="7" width="69.33203125" style="1" customWidth="1"/>
    <col min="8" max="8" width="34.1640625" style="1" hidden="1" customWidth="1"/>
    <col min="9" max="9" width="18.1640625" style="1" hidden="1" customWidth="1"/>
    <col min="10" max="10" width="17.6640625" style="9" hidden="1" customWidth="1"/>
    <col min="11" max="11" width="17.6640625" style="9" customWidth="1"/>
    <col min="13" max="13" width="11.6640625" customWidth="1"/>
    <col min="16" max="16" width="13.5" customWidth="1"/>
  </cols>
  <sheetData>
    <row r="1" spans="1:17" ht="16.5" thickBot="1" x14ac:dyDescent="0.3">
      <c r="A1" s="50" t="s">
        <v>0</v>
      </c>
      <c r="B1" s="51" t="s">
        <v>9</v>
      </c>
      <c r="C1" s="51" t="s">
        <v>1</v>
      </c>
      <c r="D1" s="51" t="s">
        <v>2</v>
      </c>
      <c r="E1" s="51" t="s">
        <v>4</v>
      </c>
      <c r="F1" s="51" t="s">
        <v>113</v>
      </c>
      <c r="G1" s="51" t="s">
        <v>3</v>
      </c>
      <c r="H1" s="51" t="s">
        <v>189</v>
      </c>
      <c r="I1" s="51" t="s">
        <v>119</v>
      </c>
      <c r="J1" s="52" t="s">
        <v>56</v>
      </c>
      <c r="K1" s="26"/>
    </row>
    <row r="2" spans="1:17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M2" s="5" t="s">
        <v>221</v>
      </c>
      <c r="N2" s="3"/>
      <c r="O2" s="3"/>
      <c r="P2" s="3"/>
      <c r="Q2" s="3"/>
    </row>
    <row r="3" spans="1:17" x14ac:dyDescent="0.2">
      <c r="A3" s="27" t="s">
        <v>62</v>
      </c>
      <c r="B3" s="28"/>
      <c r="C3" s="28"/>
      <c r="D3" s="28"/>
      <c r="E3" s="28"/>
      <c r="F3" s="28"/>
      <c r="G3" s="26"/>
      <c r="H3" s="26"/>
      <c r="I3" s="26"/>
      <c r="J3" s="28"/>
      <c r="K3" s="26"/>
      <c r="M3" s="4" t="s">
        <v>58</v>
      </c>
      <c r="N3" s="3" t="s">
        <v>52</v>
      </c>
      <c r="O3" s="3"/>
      <c r="P3" s="3"/>
      <c r="Q3" s="3"/>
    </row>
    <row r="4" spans="1:17" x14ac:dyDescent="0.2">
      <c r="A4" s="29" t="s">
        <v>5</v>
      </c>
      <c r="B4" s="1" t="s">
        <v>19</v>
      </c>
      <c r="C4" s="1">
        <v>437.45</v>
      </c>
      <c r="D4" s="1" t="s">
        <v>65</v>
      </c>
      <c r="E4" s="1" t="s">
        <v>117</v>
      </c>
      <c r="F4" s="1" t="s">
        <v>51</v>
      </c>
      <c r="G4" s="6" t="s">
        <v>114</v>
      </c>
      <c r="H4" s="6"/>
      <c r="I4" s="6">
        <v>143.6</v>
      </c>
      <c r="J4" s="1">
        <v>143.6</v>
      </c>
      <c r="K4" s="1"/>
      <c r="M4" s="4" t="s">
        <v>53</v>
      </c>
      <c r="N4" s="3" t="s">
        <v>54</v>
      </c>
      <c r="O4" s="3"/>
      <c r="P4" s="3"/>
      <c r="Q4" s="3"/>
    </row>
    <row r="5" spans="1:17" x14ac:dyDescent="0.2">
      <c r="A5" s="29" t="s">
        <v>64</v>
      </c>
      <c r="B5" s="1" t="s">
        <v>67</v>
      </c>
      <c r="C5" s="155">
        <f>299.8/C4</f>
        <v>0.68533546691050407</v>
      </c>
      <c r="D5" s="1" t="s">
        <v>66</v>
      </c>
      <c r="E5" s="1" t="s">
        <v>117</v>
      </c>
      <c r="F5" s="1" t="s">
        <v>51</v>
      </c>
      <c r="G5" s="1" t="s">
        <v>115</v>
      </c>
      <c r="I5" s="1">
        <f>299.8/I4</f>
        <v>2.0877437325905293</v>
      </c>
      <c r="J5" s="1">
        <f>299.8/J4</f>
        <v>2.0877437325905293</v>
      </c>
      <c r="K5" s="1"/>
      <c r="M5" s="4" t="s">
        <v>57</v>
      </c>
      <c r="N5" s="3" t="s">
        <v>55</v>
      </c>
      <c r="O5" s="3"/>
      <c r="P5" s="3"/>
      <c r="Q5" s="3"/>
    </row>
    <row r="6" spans="1:17" x14ac:dyDescent="0.2">
      <c r="A6" s="29" t="s">
        <v>61</v>
      </c>
      <c r="B6" s="1" t="s">
        <v>10</v>
      </c>
      <c r="C6" s="1">
        <v>1.5</v>
      </c>
      <c r="D6" s="1" t="s">
        <v>11</v>
      </c>
      <c r="E6" s="53" t="s">
        <v>229</v>
      </c>
      <c r="F6" s="1" t="s">
        <v>51</v>
      </c>
      <c r="G6" s="53" t="s">
        <v>231</v>
      </c>
      <c r="H6" s="53" t="s">
        <v>135</v>
      </c>
      <c r="I6" s="53">
        <v>1</v>
      </c>
      <c r="J6" s="1">
        <v>1</v>
      </c>
      <c r="K6" s="1"/>
      <c r="M6" s="4" t="s">
        <v>219</v>
      </c>
      <c r="N6" s="3" t="s">
        <v>220</v>
      </c>
      <c r="O6" s="3"/>
      <c r="P6" s="3"/>
      <c r="Q6" s="3"/>
    </row>
    <row r="7" spans="1:17" ht="16.5" customHeight="1" x14ac:dyDescent="0.25">
      <c r="A7" s="84" t="s">
        <v>63</v>
      </c>
      <c r="B7" s="1"/>
      <c r="C7" s="155">
        <f>10*LOG10(C6)</f>
        <v>1.7609125905568124</v>
      </c>
      <c r="D7" s="1" t="s">
        <v>59</v>
      </c>
      <c r="E7" s="53"/>
      <c r="F7" s="56" t="s">
        <v>50</v>
      </c>
      <c r="G7" s="34"/>
      <c r="H7" s="34"/>
      <c r="I7" s="1">
        <f>10*LOG10(I6)</f>
        <v>0</v>
      </c>
      <c r="J7" s="1">
        <f>10*LOG(J6)</f>
        <v>0</v>
      </c>
      <c r="K7" s="1"/>
      <c r="M7" s="4" t="s">
        <v>79</v>
      </c>
      <c r="N7" s="3" t="s">
        <v>78</v>
      </c>
      <c r="O7" s="3"/>
      <c r="P7" s="3"/>
      <c r="Q7" s="3"/>
    </row>
    <row r="8" spans="1:17" ht="18.75" x14ac:dyDescent="0.35">
      <c r="A8" s="31" t="s">
        <v>269</v>
      </c>
      <c r="B8" s="1" t="s">
        <v>13</v>
      </c>
      <c r="C8" s="94">
        <v>0.42</v>
      </c>
      <c r="D8" s="1" t="s">
        <v>71</v>
      </c>
      <c r="E8" s="53" t="s">
        <v>186</v>
      </c>
      <c r="F8" s="56" t="s">
        <v>50</v>
      </c>
      <c r="G8" s="56"/>
      <c r="H8" s="56" t="s">
        <v>136</v>
      </c>
      <c r="I8" s="34">
        <v>1.5</v>
      </c>
      <c r="J8" s="1">
        <v>1.5</v>
      </c>
      <c r="K8" s="1"/>
      <c r="M8" s="4" t="s">
        <v>162</v>
      </c>
      <c r="N8" s="218" t="s">
        <v>163</v>
      </c>
      <c r="O8" s="218"/>
      <c r="P8" s="218"/>
      <c r="Q8" s="3"/>
    </row>
    <row r="9" spans="1:17" x14ac:dyDescent="0.2">
      <c r="A9" s="31" t="s">
        <v>16</v>
      </c>
      <c r="B9" s="32" t="s">
        <v>15</v>
      </c>
      <c r="C9" s="94">
        <v>-12.97</v>
      </c>
      <c r="D9" s="1" t="s">
        <v>180</v>
      </c>
      <c r="E9" s="1" t="s">
        <v>227</v>
      </c>
      <c r="F9" s="1" t="s">
        <v>12</v>
      </c>
      <c r="G9" s="53" t="s">
        <v>226</v>
      </c>
      <c r="H9" s="53" t="s">
        <v>137</v>
      </c>
      <c r="I9" s="53">
        <v>-8.8000000000000007</v>
      </c>
      <c r="J9" s="1">
        <v>-8.8000000000000007</v>
      </c>
      <c r="K9" s="1"/>
      <c r="M9" s="85"/>
      <c r="N9" s="108" t="s">
        <v>236</v>
      </c>
      <c r="O9" s="3"/>
      <c r="P9" s="3"/>
      <c r="Q9" s="3"/>
    </row>
    <row r="10" spans="1:17" x14ac:dyDescent="0.2">
      <c r="A10" s="31" t="s">
        <v>282</v>
      </c>
      <c r="B10" s="35"/>
      <c r="C10" s="1">
        <v>-1.45</v>
      </c>
      <c r="D10" s="1" t="s">
        <v>8</v>
      </c>
      <c r="E10" s="1" t="s">
        <v>168</v>
      </c>
      <c r="F10" s="1" t="s">
        <v>51</v>
      </c>
      <c r="G10" s="1" t="s">
        <v>211</v>
      </c>
      <c r="H10" s="53"/>
      <c r="I10" s="1">
        <v>-0.9</v>
      </c>
      <c r="J10" s="1"/>
      <c r="K10" s="1"/>
      <c r="M10" s="93"/>
      <c r="N10" s="108" t="s">
        <v>187</v>
      </c>
      <c r="O10" s="3"/>
      <c r="P10" s="3"/>
      <c r="Q10" s="3"/>
    </row>
    <row r="11" spans="1:17" x14ac:dyDescent="0.2">
      <c r="A11" s="98" t="s">
        <v>281</v>
      </c>
      <c r="B11" s="35"/>
      <c r="C11" s="1">
        <v>-0.4</v>
      </c>
      <c r="D11" s="1" t="s">
        <v>8</v>
      </c>
      <c r="E11" s="1" t="s">
        <v>307</v>
      </c>
      <c r="F11" s="1" t="s">
        <v>51</v>
      </c>
      <c r="H11" s="53" t="s">
        <v>138</v>
      </c>
      <c r="J11" s="1"/>
      <c r="K11" s="1"/>
      <c r="M11" s="95"/>
      <c r="N11" s="57" t="s">
        <v>188</v>
      </c>
    </row>
    <row r="12" spans="1:17" x14ac:dyDescent="0.2">
      <c r="A12" s="37" t="s">
        <v>70</v>
      </c>
      <c r="B12" s="54" t="s">
        <v>118</v>
      </c>
      <c r="C12" s="161">
        <f>C7+C8+C10+C11</f>
        <v>0.33091259055681255</v>
      </c>
      <c r="D12" s="38" t="s">
        <v>59</v>
      </c>
      <c r="E12" s="38" t="s">
        <v>112</v>
      </c>
      <c r="F12" s="96" t="s">
        <v>50</v>
      </c>
      <c r="G12" s="34" t="s">
        <v>116</v>
      </c>
      <c r="H12" s="34"/>
      <c r="I12" s="38">
        <f>I7+I8+I10+I11</f>
        <v>0.6</v>
      </c>
      <c r="J12" s="38">
        <f>J7+J8+J10+J11</f>
        <v>1.5</v>
      </c>
      <c r="K12" s="1"/>
    </row>
    <row r="13" spans="1:17" x14ac:dyDescent="0.2">
      <c r="A13" s="7"/>
      <c r="B13" s="35"/>
      <c r="C13" s="1"/>
      <c r="D13" s="1"/>
      <c r="E13" s="1"/>
      <c r="F13" s="1"/>
      <c r="G13" s="6"/>
      <c r="H13" s="6"/>
      <c r="I13" s="6"/>
      <c r="J13" s="1"/>
      <c r="K13" s="1"/>
    </row>
    <row r="14" spans="1:17" x14ac:dyDescent="0.2">
      <c r="A14" s="8" t="s">
        <v>68</v>
      </c>
    </row>
    <row r="15" spans="1:17" x14ac:dyDescent="0.2">
      <c r="A15" s="39" t="s">
        <v>6</v>
      </c>
      <c r="B15" s="40" t="s">
        <v>17</v>
      </c>
      <c r="C15" s="166">
        <f>-92.45-(20*LOG(C16))-(20*LOG(C4*0.001))</f>
        <v>-149.47493881386129</v>
      </c>
      <c r="D15" s="6" t="s">
        <v>8</v>
      </c>
      <c r="E15" s="6" t="s">
        <v>199</v>
      </c>
      <c r="F15" s="97" t="s">
        <v>50</v>
      </c>
      <c r="G15" s="47"/>
      <c r="H15" s="47"/>
      <c r="I15" s="47">
        <v>-143.6</v>
      </c>
      <c r="J15" s="6">
        <v>-143.6</v>
      </c>
      <c r="K15" s="1"/>
    </row>
    <row r="16" spans="1:17" x14ac:dyDescent="0.2">
      <c r="A16" s="7" t="s">
        <v>20</v>
      </c>
      <c r="B16" s="35" t="s">
        <v>18</v>
      </c>
      <c r="C16" s="1">
        <v>1623</v>
      </c>
      <c r="D16" s="1" t="s">
        <v>198</v>
      </c>
      <c r="E16" s="1" t="s">
        <v>224</v>
      </c>
      <c r="F16" s="56" t="s">
        <v>12</v>
      </c>
      <c r="G16" s="1" t="s">
        <v>223</v>
      </c>
      <c r="H16" s="1" t="s">
        <v>139</v>
      </c>
      <c r="J16" s="1"/>
      <c r="K16" s="1"/>
    </row>
    <row r="17" spans="1:11" x14ac:dyDescent="0.2">
      <c r="A17" s="31" t="s">
        <v>183</v>
      </c>
      <c r="B17" s="35"/>
      <c r="C17" s="1">
        <f>SUM(C18:C19)</f>
        <v>-0.8</v>
      </c>
      <c r="D17" s="1" t="s">
        <v>8</v>
      </c>
      <c r="E17" s="1" t="s">
        <v>202</v>
      </c>
      <c r="F17" s="56" t="s">
        <v>50</v>
      </c>
      <c r="J17" s="1"/>
      <c r="K17" s="1"/>
    </row>
    <row r="18" spans="1:11" x14ac:dyDescent="0.2">
      <c r="A18" s="7" t="s">
        <v>279</v>
      </c>
      <c r="B18" s="35"/>
      <c r="C18" s="1">
        <v>-0.4</v>
      </c>
      <c r="D18" s="1" t="s">
        <v>8</v>
      </c>
      <c r="E18" s="1" t="s">
        <v>302</v>
      </c>
      <c r="F18" s="1" t="s">
        <v>51</v>
      </c>
      <c r="J18" s="1"/>
      <c r="K18" s="1"/>
    </row>
    <row r="19" spans="1:11" x14ac:dyDescent="0.2">
      <c r="A19" s="7" t="s">
        <v>280</v>
      </c>
      <c r="B19" s="35"/>
      <c r="C19" s="1">
        <v>-0.4</v>
      </c>
      <c r="D19" s="1" t="s">
        <v>8</v>
      </c>
      <c r="E19" s="1" t="s">
        <v>302</v>
      </c>
      <c r="F19" s="1" t="s">
        <v>51</v>
      </c>
      <c r="J19" s="1"/>
      <c r="K19" s="1"/>
    </row>
    <row r="20" spans="1:11" s="107" customFormat="1" x14ac:dyDescent="0.2">
      <c r="A20" s="142" t="s">
        <v>7</v>
      </c>
      <c r="B20" s="143" t="s">
        <v>23</v>
      </c>
      <c r="C20" s="144">
        <v>-1</v>
      </c>
      <c r="D20" s="96" t="s">
        <v>8</v>
      </c>
      <c r="E20" s="96" t="s">
        <v>305</v>
      </c>
      <c r="F20" s="96" t="s">
        <v>12</v>
      </c>
      <c r="G20" s="96"/>
      <c r="H20" s="56"/>
      <c r="I20" s="56">
        <v>-3</v>
      </c>
      <c r="J20" s="56">
        <v>-3.8</v>
      </c>
      <c r="K20" s="56"/>
    </row>
    <row r="21" spans="1:11" x14ac:dyDescent="0.2">
      <c r="H21" s="6"/>
      <c r="I21" s="6"/>
    </row>
    <row r="22" spans="1:11" x14ac:dyDescent="0.2">
      <c r="A22" s="8" t="s">
        <v>69</v>
      </c>
    </row>
    <row r="23" spans="1:11" x14ac:dyDescent="0.2">
      <c r="A23" s="39" t="s">
        <v>22</v>
      </c>
      <c r="B23" s="40" t="s">
        <v>21</v>
      </c>
      <c r="C23" s="86">
        <v>-1</v>
      </c>
      <c r="D23" s="6" t="s">
        <v>8</v>
      </c>
      <c r="E23" s="6" t="s">
        <v>309</v>
      </c>
      <c r="F23" s="6" t="s">
        <v>12</v>
      </c>
      <c r="G23" s="47" t="s">
        <v>308</v>
      </c>
      <c r="H23" s="83" t="s">
        <v>140</v>
      </c>
      <c r="I23" s="47">
        <v>-2.7</v>
      </c>
      <c r="J23" s="6">
        <v>-2.7</v>
      </c>
      <c r="K23" s="1"/>
    </row>
    <row r="24" spans="1:11" x14ac:dyDescent="0.2">
      <c r="A24" s="41" t="s">
        <v>286</v>
      </c>
      <c r="B24" s="35" t="s">
        <v>107</v>
      </c>
      <c r="C24" s="149">
        <f>C12+C9+C15+C20+C23+C17</f>
        <v>-164.91402622330449</v>
      </c>
      <c r="D24" s="1" t="s">
        <v>59</v>
      </c>
      <c r="E24" s="1" t="s">
        <v>109</v>
      </c>
      <c r="F24" s="56" t="s">
        <v>50</v>
      </c>
      <c r="G24" s="34"/>
      <c r="H24" s="34"/>
      <c r="I24" s="1">
        <f>I12+I9+I15+I20+I23</f>
        <v>-157.49999999999997</v>
      </c>
      <c r="J24" s="1">
        <f>J12+J9+J15+J20+J23</f>
        <v>-157.4</v>
      </c>
      <c r="K24" s="1"/>
    </row>
    <row r="25" spans="1:11" x14ac:dyDescent="0.2">
      <c r="A25" s="31" t="s">
        <v>242</v>
      </c>
      <c r="B25" s="1"/>
      <c r="C25" s="94">
        <f>18.9+6.02</f>
        <v>24.919999999999998</v>
      </c>
      <c r="D25" s="1" t="s">
        <v>8</v>
      </c>
      <c r="E25" s="1" t="s">
        <v>222</v>
      </c>
      <c r="F25" s="56" t="s">
        <v>12</v>
      </c>
      <c r="G25" s="34" t="s">
        <v>287</v>
      </c>
      <c r="H25" s="53"/>
      <c r="I25" s="34"/>
      <c r="J25" s="1"/>
      <c r="K25" s="1"/>
    </row>
    <row r="26" spans="1:11" x14ac:dyDescent="0.2">
      <c r="A26" s="31" t="s">
        <v>255</v>
      </c>
      <c r="B26" s="1"/>
      <c r="C26" s="1">
        <v>21</v>
      </c>
      <c r="D26" s="1" t="s">
        <v>8</v>
      </c>
      <c r="E26" s="1" t="s">
        <v>246</v>
      </c>
      <c r="F26" s="56" t="s">
        <v>12</v>
      </c>
      <c r="G26" s="34" t="s">
        <v>247</v>
      </c>
      <c r="H26" s="53"/>
      <c r="I26" s="34"/>
      <c r="J26" s="1"/>
      <c r="K26" s="1"/>
    </row>
    <row r="27" spans="1:11" x14ac:dyDescent="0.2">
      <c r="A27" s="42" t="s">
        <v>254</v>
      </c>
      <c r="B27" s="1"/>
      <c r="C27" s="1">
        <v>31</v>
      </c>
      <c r="D27" s="1" t="s">
        <v>8</v>
      </c>
      <c r="E27" s="1" t="s">
        <v>256</v>
      </c>
      <c r="F27" s="56" t="s">
        <v>12</v>
      </c>
      <c r="G27" s="34" t="s">
        <v>253</v>
      </c>
      <c r="H27" s="53"/>
      <c r="I27" s="34"/>
      <c r="J27" s="1"/>
      <c r="K27" s="1"/>
    </row>
    <row r="28" spans="1:11" x14ac:dyDescent="0.2">
      <c r="A28" s="31" t="s">
        <v>132</v>
      </c>
      <c r="B28" s="1" t="s">
        <v>26</v>
      </c>
      <c r="C28" s="171">
        <f>C30+C31+C35</f>
        <v>300.8321352899361</v>
      </c>
      <c r="D28" s="1" t="s">
        <v>29</v>
      </c>
      <c r="E28" s="1" t="s">
        <v>238</v>
      </c>
      <c r="F28" s="56" t="s">
        <v>50</v>
      </c>
      <c r="G28" s="174" t="s">
        <v>306</v>
      </c>
      <c r="H28" s="34"/>
      <c r="I28" s="34">
        <v>22717</v>
      </c>
      <c r="J28" s="1">
        <v>22717</v>
      </c>
      <c r="K28" s="1"/>
    </row>
    <row r="29" spans="1:11" ht="15.75" customHeight="1" x14ac:dyDescent="0.2">
      <c r="A29" s="172" t="s">
        <v>27</v>
      </c>
      <c r="B29" s="173" t="s">
        <v>28</v>
      </c>
      <c r="C29" s="174">
        <v>290</v>
      </c>
      <c r="D29" s="174" t="s">
        <v>29</v>
      </c>
      <c r="E29" s="174" t="s">
        <v>120</v>
      </c>
      <c r="F29" s="174" t="s">
        <v>51</v>
      </c>
      <c r="J29" s="1">
        <v>290</v>
      </c>
      <c r="K29" s="1"/>
    </row>
    <row r="30" spans="1:11" ht="15.75" customHeight="1" x14ac:dyDescent="0.2">
      <c r="A30" s="139" t="s">
        <v>160</v>
      </c>
      <c r="B30" s="140" t="s">
        <v>161</v>
      </c>
      <c r="C30" s="141">
        <v>270</v>
      </c>
      <c r="D30" s="56" t="s">
        <v>29</v>
      </c>
      <c r="E30" s="56" t="s">
        <v>224</v>
      </c>
      <c r="F30" s="56" t="s">
        <v>50</v>
      </c>
      <c r="J30" s="1"/>
      <c r="K30" s="1"/>
    </row>
    <row r="31" spans="1:11" ht="15.75" customHeight="1" x14ac:dyDescent="0.2">
      <c r="A31" s="139" t="s">
        <v>248</v>
      </c>
      <c r="B31" s="140"/>
      <c r="C31" s="147">
        <f>$C$29*(10^(C32/10)-1)</f>
        <v>27.978676881523675</v>
      </c>
      <c r="D31" s="56" t="s">
        <v>29</v>
      </c>
      <c r="E31" s="56" t="s">
        <v>237</v>
      </c>
      <c r="F31" s="56" t="s">
        <v>50</v>
      </c>
      <c r="G31" s="91"/>
      <c r="H31" s="91"/>
      <c r="I31" s="34"/>
      <c r="J31" s="1"/>
      <c r="K31" s="1"/>
    </row>
    <row r="32" spans="1:11" ht="15.75" customHeight="1" x14ac:dyDescent="0.2">
      <c r="A32" s="139" t="s">
        <v>249</v>
      </c>
      <c r="B32" s="140" t="s">
        <v>36</v>
      </c>
      <c r="C32" s="56">
        <v>0.4</v>
      </c>
      <c r="D32" s="56" t="s">
        <v>8</v>
      </c>
      <c r="E32" s="1" t="s">
        <v>246</v>
      </c>
      <c r="F32" s="56" t="s">
        <v>51</v>
      </c>
      <c r="G32" s="91" t="s">
        <v>289</v>
      </c>
      <c r="H32" s="91" t="s">
        <v>141</v>
      </c>
      <c r="I32" s="34"/>
      <c r="J32" s="1" t="e">
        <f>(#REF!-1)*J29</f>
        <v>#REF!</v>
      </c>
      <c r="K32" s="1"/>
    </row>
    <row r="33" spans="1:11" ht="15.75" customHeight="1" x14ac:dyDescent="0.2">
      <c r="A33" s="139" t="s">
        <v>252</v>
      </c>
      <c r="B33" s="140"/>
      <c r="C33" s="147">
        <f>$C$29*(10^(C34/10)-1)</f>
        <v>359.22913018481842</v>
      </c>
      <c r="D33" s="56" t="s">
        <v>29</v>
      </c>
      <c r="E33" s="56" t="s">
        <v>237</v>
      </c>
      <c r="F33" s="56" t="s">
        <v>50</v>
      </c>
      <c r="G33" s="91"/>
      <c r="H33" s="91"/>
      <c r="I33" s="34"/>
      <c r="J33" s="1"/>
      <c r="K33" s="1"/>
    </row>
    <row r="34" spans="1:11" ht="15.75" customHeight="1" x14ac:dyDescent="0.2">
      <c r="A34" s="139" t="s">
        <v>250</v>
      </c>
      <c r="B34" s="140" t="s">
        <v>36</v>
      </c>
      <c r="C34" s="56">
        <v>3.5</v>
      </c>
      <c r="D34" s="56" t="s">
        <v>8</v>
      </c>
      <c r="E34" s="1" t="s">
        <v>256</v>
      </c>
      <c r="F34" s="56" t="s">
        <v>51</v>
      </c>
      <c r="G34" s="91" t="s">
        <v>288</v>
      </c>
      <c r="H34" s="91" t="s">
        <v>141</v>
      </c>
      <c r="I34" s="34"/>
      <c r="J34" s="1" t="e">
        <f>(J32-1)*#REF!</f>
        <v>#REF!</v>
      </c>
      <c r="K34" s="1"/>
    </row>
    <row r="35" spans="1:11" ht="15.75" customHeight="1" x14ac:dyDescent="0.2">
      <c r="A35" s="139" t="s">
        <v>251</v>
      </c>
      <c r="B35" s="140"/>
      <c r="C35" s="147">
        <f>C33/(10^(C26/10))</f>
        <v>2.8534584084124583</v>
      </c>
      <c r="D35" s="56" t="s">
        <v>29</v>
      </c>
      <c r="E35" s="56" t="s">
        <v>238</v>
      </c>
      <c r="F35" s="56" t="s">
        <v>50</v>
      </c>
      <c r="G35" s="91" t="s">
        <v>306</v>
      </c>
      <c r="H35" s="91"/>
      <c r="I35" s="34"/>
      <c r="J35" s="1"/>
      <c r="K35" s="1"/>
    </row>
    <row r="36" spans="1:11" x14ac:dyDescent="0.2">
      <c r="A36" s="42" t="s">
        <v>285</v>
      </c>
      <c r="B36" s="32" t="s">
        <v>108</v>
      </c>
      <c r="C36" s="171">
        <f>C25-(10*LOG(C28))</f>
        <v>0.13675773686584591</v>
      </c>
      <c r="D36" s="1" t="s">
        <v>76</v>
      </c>
      <c r="E36" s="1" t="s">
        <v>238</v>
      </c>
      <c r="F36" s="56" t="s">
        <v>50</v>
      </c>
      <c r="G36" s="91" t="s">
        <v>306</v>
      </c>
      <c r="I36" s="1" t="e">
        <f>#REF!-(10*LOG(I28))</f>
        <v>#REF!</v>
      </c>
      <c r="J36" s="1" t="e">
        <f>#REF!-(10*LOG(J28))</f>
        <v>#REF!</v>
      </c>
      <c r="K36" s="1"/>
    </row>
    <row r="37" spans="1:11" x14ac:dyDescent="0.2">
      <c r="A37" s="37" t="s">
        <v>72</v>
      </c>
      <c r="B37" s="54" t="s">
        <v>73</v>
      </c>
      <c r="C37" s="148">
        <f>C24+C36-(-228.6)</f>
        <v>63.822731513561365</v>
      </c>
      <c r="D37" s="38" t="s">
        <v>75</v>
      </c>
      <c r="E37" s="38" t="s">
        <v>111</v>
      </c>
      <c r="F37" s="56" t="s">
        <v>50</v>
      </c>
      <c r="G37" s="1" t="s">
        <v>241</v>
      </c>
      <c r="I37" s="38" t="e">
        <f>I24+I36-(-228.6)</f>
        <v>#REF!</v>
      </c>
      <c r="J37" s="38" t="e">
        <f>J24+J36-(-228.6)</f>
        <v>#REF!</v>
      </c>
      <c r="K37" s="1"/>
    </row>
    <row r="38" spans="1:11" x14ac:dyDescent="0.2">
      <c r="F38" s="6"/>
      <c r="G38" s="6"/>
      <c r="H38" s="6"/>
      <c r="I38" s="6"/>
    </row>
    <row r="39" spans="1:11" x14ac:dyDescent="0.2">
      <c r="A39" s="88" t="s">
        <v>179</v>
      </c>
    </row>
    <row r="40" spans="1:11" x14ac:dyDescent="0.2">
      <c r="A40" s="6" t="s">
        <v>45</v>
      </c>
      <c r="B40" s="6" t="s">
        <v>44</v>
      </c>
      <c r="C40" s="6">
        <v>19200</v>
      </c>
      <c r="D40" s="6" t="s">
        <v>166</v>
      </c>
      <c r="E40" s="6" t="s">
        <v>184</v>
      </c>
      <c r="F40" s="6" t="s">
        <v>51</v>
      </c>
      <c r="G40" s="6"/>
      <c r="H40" s="6" t="s">
        <v>138</v>
      </c>
      <c r="I40" s="6">
        <v>19200</v>
      </c>
      <c r="J40" s="6">
        <v>9600</v>
      </c>
      <c r="K40" s="1"/>
    </row>
    <row r="41" spans="1:11" x14ac:dyDescent="0.2">
      <c r="A41" s="84" t="s">
        <v>284</v>
      </c>
      <c r="C41" s="156">
        <f>10*LOG10(C40)</f>
        <v>42.833012287035494</v>
      </c>
      <c r="D41" s="1" t="s">
        <v>75</v>
      </c>
      <c r="E41" s="1"/>
      <c r="F41" s="1"/>
      <c r="J41" s="1"/>
      <c r="K41" s="1"/>
    </row>
    <row r="42" spans="1:11" s="151" customFormat="1" x14ac:dyDescent="0.2">
      <c r="A42" s="152" t="s">
        <v>264</v>
      </c>
      <c r="B42" s="153"/>
      <c r="C42" s="182">
        <v>27000</v>
      </c>
      <c r="D42" s="53" t="s">
        <v>265</v>
      </c>
      <c r="E42" s="56" t="s">
        <v>312</v>
      </c>
      <c r="F42" s="56"/>
      <c r="G42" s="56" t="s">
        <v>316</v>
      </c>
      <c r="H42" s="150"/>
      <c r="I42" s="150"/>
      <c r="J42" s="150"/>
      <c r="K42" s="150"/>
    </row>
    <row r="43" spans="1:11" s="151" customFormat="1" x14ac:dyDescent="0.2">
      <c r="A43" s="152" t="s">
        <v>266</v>
      </c>
      <c r="B43" s="153" t="s">
        <v>267</v>
      </c>
      <c r="C43" s="154">
        <f>10*LOG10(C40/C42)</f>
        <v>-1.4806253545543768</v>
      </c>
      <c r="D43" s="53" t="s">
        <v>8</v>
      </c>
      <c r="E43" s="150"/>
      <c r="F43" s="150"/>
      <c r="G43" s="150"/>
      <c r="H43" s="150"/>
      <c r="I43" s="150"/>
      <c r="J43" s="150"/>
      <c r="K43" s="150"/>
    </row>
    <row r="44" spans="1:11" x14ac:dyDescent="0.2">
      <c r="A44" s="1" t="s">
        <v>49</v>
      </c>
      <c r="B44" s="1"/>
      <c r="C44" s="138">
        <v>1.0000000000000001E-5</v>
      </c>
      <c r="D44" s="1"/>
      <c r="E44" s="1" t="s">
        <v>172</v>
      </c>
      <c r="F44" s="1" t="s">
        <v>51</v>
      </c>
      <c r="G44" s="1" t="s">
        <v>213</v>
      </c>
      <c r="H44" s="1" t="s">
        <v>142</v>
      </c>
      <c r="J44" s="1"/>
      <c r="K44" s="1"/>
    </row>
    <row r="45" spans="1:11" x14ac:dyDescent="0.2">
      <c r="A45" s="43" t="s">
        <v>47</v>
      </c>
      <c r="B45" s="1"/>
      <c r="C45" s="146">
        <f>C7+C8+C9+C10+C17+C23+C15+C20+C25+228.6-(10*LOG(C28))-C41+C43+C11</f>
        <v>19.509093871971473</v>
      </c>
      <c r="D45" s="1" t="s">
        <v>8</v>
      </c>
      <c r="E45" s="1" t="s">
        <v>207</v>
      </c>
      <c r="F45" s="1" t="s">
        <v>50</v>
      </c>
      <c r="G45" s="1" t="s">
        <v>171</v>
      </c>
      <c r="I45" s="1" t="e">
        <f>I6+I8+I9+I23+I15+I20+#REF!+228.6-(10*LOG(I28))-(10*LOG(I40))</f>
        <v>#REF!</v>
      </c>
      <c r="J45" s="1" t="e">
        <f>J7+J8-J9-J23-J15-J20+#REF!+228.6-(10*LOG(J28))-(10*LOG(J40))</f>
        <v>#REF!</v>
      </c>
      <c r="K45" s="1"/>
    </row>
    <row r="46" spans="1:11" x14ac:dyDescent="0.2">
      <c r="A46" s="43" t="s">
        <v>278</v>
      </c>
      <c r="B46" s="1"/>
      <c r="C46" s="146">
        <f>C37-C41+C43</f>
        <v>19.509093871971494</v>
      </c>
      <c r="D46" s="1" t="s">
        <v>8</v>
      </c>
      <c r="E46" s="1" t="s">
        <v>207</v>
      </c>
      <c r="F46" s="1"/>
      <c r="J46"/>
      <c r="K46"/>
    </row>
    <row r="47" spans="1:11" x14ac:dyDescent="0.2">
      <c r="A47" s="33" t="s">
        <v>262</v>
      </c>
      <c r="B47" s="1"/>
      <c r="C47" s="1">
        <f>2+13.8</f>
        <v>15.8</v>
      </c>
      <c r="D47" s="1" t="s">
        <v>8</v>
      </c>
      <c r="E47" s="1" t="s">
        <v>258</v>
      </c>
      <c r="F47" s="1" t="s">
        <v>51</v>
      </c>
      <c r="G47" s="1" t="s">
        <v>263</v>
      </c>
      <c r="H47" s="1" t="s">
        <v>143</v>
      </c>
      <c r="I47" s="1">
        <v>10.8</v>
      </c>
      <c r="J47" s="1">
        <v>10.8</v>
      </c>
      <c r="K47" s="1"/>
    </row>
    <row r="48" spans="1:11" x14ac:dyDescent="0.2">
      <c r="A48" s="44"/>
      <c r="B48" s="45"/>
      <c r="C48" s="45"/>
      <c r="D48" s="45"/>
      <c r="E48" s="45"/>
      <c r="F48" s="45"/>
      <c r="G48" s="6"/>
      <c r="H48" s="6"/>
      <c r="I48" s="6"/>
      <c r="J48" s="45"/>
      <c r="K48" s="1"/>
    </row>
    <row r="49" spans="1:11" x14ac:dyDescent="0.2">
      <c r="A49" s="46" t="s">
        <v>48</v>
      </c>
      <c r="B49" s="28"/>
      <c r="C49" s="162">
        <f>C46-C47</f>
        <v>3.7090938719714934</v>
      </c>
      <c r="D49" s="28" t="s">
        <v>8</v>
      </c>
      <c r="E49" s="28"/>
      <c r="F49" s="28"/>
      <c r="G49" s="49"/>
      <c r="H49" s="49"/>
      <c r="I49" s="55" t="e">
        <f>I45-I47</f>
        <v>#REF!</v>
      </c>
      <c r="J49" s="28" t="e">
        <f>J45-J47</f>
        <v>#REF!</v>
      </c>
      <c r="K49" s="26"/>
    </row>
    <row r="50" spans="1:11" x14ac:dyDescent="0.2">
      <c r="G50" s="6"/>
      <c r="H50" s="6"/>
      <c r="I50" s="6"/>
    </row>
    <row r="52" spans="1:11" x14ac:dyDescent="0.2">
      <c r="A52" s="217" t="s">
        <v>46</v>
      </c>
      <c r="B52" s="217"/>
      <c r="C52" s="217"/>
      <c r="D52" s="217"/>
      <c r="E52" s="217"/>
      <c r="F52" s="217"/>
      <c r="G52" s="48"/>
      <c r="H52" s="48"/>
      <c r="I52" s="48"/>
    </row>
    <row r="60" spans="1:11" x14ac:dyDescent="0.2">
      <c r="B60" t="s">
        <v>121</v>
      </c>
      <c r="C60"/>
      <c r="D60"/>
      <c r="E60"/>
    </row>
    <row r="61" spans="1:11" x14ac:dyDescent="0.2">
      <c r="B61" t="s">
        <v>122</v>
      </c>
      <c r="C61"/>
      <c r="D61"/>
      <c r="E61"/>
    </row>
    <row r="62" spans="1:11" x14ac:dyDescent="0.2">
      <c r="B62" s="57" t="s">
        <v>123</v>
      </c>
      <c r="C62"/>
      <c r="D62"/>
      <c r="E62"/>
    </row>
    <row r="63" spans="1:11" x14ac:dyDescent="0.2">
      <c r="B63" t="s">
        <v>134</v>
      </c>
      <c r="C63"/>
      <c r="D63"/>
      <c r="E63"/>
    </row>
    <row r="64" spans="1:11" x14ac:dyDescent="0.2">
      <c r="B64" t="s">
        <v>124</v>
      </c>
      <c r="C64"/>
      <c r="D64"/>
      <c r="E64"/>
    </row>
    <row r="65" spans="2:5" x14ac:dyDescent="0.2">
      <c r="B65" t="s">
        <v>125</v>
      </c>
      <c r="C65"/>
      <c r="D65"/>
      <c r="E65"/>
    </row>
    <row r="66" spans="2:5" x14ac:dyDescent="0.2">
      <c r="B66"/>
      <c r="C66"/>
      <c r="D66"/>
      <c r="E66"/>
    </row>
    <row r="67" spans="2:5" x14ac:dyDescent="0.2">
      <c r="B67" t="s">
        <v>126</v>
      </c>
      <c r="C67"/>
      <c r="D67"/>
      <c r="E67"/>
    </row>
    <row r="68" spans="2:5" x14ac:dyDescent="0.2">
      <c r="B68" t="s">
        <v>127</v>
      </c>
      <c r="C68"/>
      <c r="D68"/>
      <c r="E68"/>
    </row>
    <row r="69" spans="2:5" x14ac:dyDescent="0.2">
      <c r="B69"/>
      <c r="C69"/>
      <c r="D69"/>
      <c r="E69"/>
    </row>
    <row r="70" spans="2:5" x14ac:dyDescent="0.2">
      <c r="B70" t="s">
        <v>128</v>
      </c>
      <c r="C70"/>
      <c r="D70"/>
      <c r="E70"/>
    </row>
    <row r="71" spans="2:5" x14ac:dyDescent="0.2">
      <c r="B71" t="s">
        <v>129</v>
      </c>
      <c r="C71"/>
      <c r="D71"/>
      <c r="E71"/>
    </row>
    <row r="72" spans="2:5" x14ac:dyDescent="0.2">
      <c r="B72"/>
      <c r="C72"/>
      <c r="D72"/>
      <c r="E72"/>
    </row>
  </sheetData>
  <mergeCells count="2">
    <mergeCell ref="A52:F52"/>
    <mergeCell ref="N8:P8"/>
  </mergeCells>
  <pageMargins left="0.7" right="0.7" top="0.75" bottom="0.75" header="0.3" footer="0.3"/>
  <pageSetup orientation="portrait" r:id="rId1"/>
  <ignoredErrors>
    <ignoredError sqref="C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Ruler="0" topLeftCell="A32" workbookViewId="0">
      <selection activeCell="A48" sqref="A48"/>
    </sheetView>
  </sheetViews>
  <sheetFormatPr baseColWidth="10" defaultColWidth="11" defaultRowHeight="16" x14ac:dyDescent="0.2"/>
  <cols>
    <col min="1" max="1" width="42.5" style="9" bestFit="1" customWidth="1"/>
    <col min="2" max="2" width="0" style="9" hidden="1" customWidth="1"/>
    <col min="3" max="3" width="6.6640625" style="9" bestFit="1" customWidth="1"/>
    <col min="4" max="4" width="7.33203125" style="9" customWidth="1"/>
    <col min="5" max="5" width="36.33203125" style="9" customWidth="1"/>
    <col min="6" max="6" width="14.6640625" style="9" customWidth="1"/>
    <col min="7" max="7" width="38.6640625" style="1" customWidth="1"/>
    <col min="8" max="8" width="18.1640625" style="1" customWidth="1"/>
    <col min="13" max="13" width="13.5" customWidth="1"/>
  </cols>
  <sheetData>
    <row r="1" spans="1:14" ht="16.5" thickBot="1" x14ac:dyDescent="0.3">
      <c r="A1" s="50" t="s">
        <v>0</v>
      </c>
      <c r="B1" s="51" t="s">
        <v>9</v>
      </c>
      <c r="C1" s="51" t="s">
        <v>1</v>
      </c>
      <c r="D1" s="51" t="s">
        <v>2</v>
      </c>
      <c r="E1" s="51" t="s">
        <v>4</v>
      </c>
      <c r="F1" s="51" t="s">
        <v>113</v>
      </c>
      <c r="G1" s="51" t="s">
        <v>3</v>
      </c>
      <c r="H1" s="26"/>
    </row>
    <row r="2" spans="1:14" x14ac:dyDescent="0.2">
      <c r="A2" s="26"/>
      <c r="B2" s="26"/>
      <c r="C2" s="26"/>
      <c r="D2" s="26"/>
      <c r="E2" s="26"/>
      <c r="F2" s="26"/>
      <c r="G2" s="26"/>
      <c r="H2" s="26"/>
      <c r="J2" s="5" t="s">
        <v>221</v>
      </c>
      <c r="K2" s="3"/>
      <c r="L2" s="3"/>
      <c r="M2" s="3"/>
      <c r="N2" s="3"/>
    </row>
    <row r="3" spans="1:14" x14ac:dyDescent="0.2">
      <c r="A3" s="27" t="s">
        <v>69</v>
      </c>
      <c r="B3" s="28"/>
      <c r="C3" s="28"/>
      <c r="D3" s="28"/>
      <c r="E3" s="28"/>
      <c r="F3" s="28"/>
      <c r="G3" s="26"/>
      <c r="H3" s="26"/>
      <c r="J3" s="4" t="s">
        <v>58</v>
      </c>
      <c r="K3" s="3" t="s">
        <v>52</v>
      </c>
      <c r="L3" s="3"/>
      <c r="M3" s="3"/>
      <c r="N3" s="3"/>
    </row>
    <row r="4" spans="1:14" x14ac:dyDescent="0.2">
      <c r="A4" s="29" t="s">
        <v>5</v>
      </c>
      <c r="B4" s="1" t="s">
        <v>19</v>
      </c>
      <c r="C4" s="1">
        <v>145.96</v>
      </c>
      <c r="D4" s="1" t="s">
        <v>65</v>
      </c>
      <c r="E4" s="1" t="s">
        <v>117</v>
      </c>
      <c r="F4" s="1" t="s">
        <v>51</v>
      </c>
      <c r="G4" s="6"/>
      <c r="I4" t="s">
        <v>257</v>
      </c>
      <c r="J4" s="4" t="s">
        <v>53</v>
      </c>
      <c r="K4" s="3" t="s">
        <v>54</v>
      </c>
      <c r="L4" s="3"/>
      <c r="M4" s="3"/>
      <c r="N4" s="3"/>
    </row>
    <row r="5" spans="1:14" x14ac:dyDescent="0.2">
      <c r="A5" s="29" t="s">
        <v>64</v>
      </c>
      <c r="B5" s="1" t="s">
        <v>67</v>
      </c>
      <c r="C5" s="155">
        <f>299.8/C4</f>
        <v>2.0539873938065223</v>
      </c>
      <c r="D5" s="1" t="s">
        <v>66</v>
      </c>
      <c r="E5" s="1" t="s">
        <v>117</v>
      </c>
      <c r="F5" s="1" t="s">
        <v>51</v>
      </c>
      <c r="G5" s="1" t="s">
        <v>115</v>
      </c>
      <c r="I5" s="1" t="s">
        <v>257</v>
      </c>
      <c r="J5" s="4" t="s">
        <v>57</v>
      </c>
      <c r="K5" s="3" t="s">
        <v>55</v>
      </c>
      <c r="L5" s="3"/>
      <c r="M5" s="3"/>
      <c r="N5" s="3"/>
    </row>
    <row r="6" spans="1:14" x14ac:dyDescent="0.2">
      <c r="A6" s="29" t="s">
        <v>61</v>
      </c>
      <c r="B6" s="1" t="s">
        <v>10</v>
      </c>
      <c r="C6" s="87">
        <v>50</v>
      </c>
      <c r="D6" s="1" t="s">
        <v>11</v>
      </c>
      <c r="E6" s="1" t="s">
        <v>225</v>
      </c>
      <c r="F6" s="1" t="s">
        <v>51</v>
      </c>
      <c r="G6" s="53" t="s">
        <v>244</v>
      </c>
      <c r="H6" s="53" t="s">
        <v>257</v>
      </c>
      <c r="I6" s="53" t="s">
        <v>257</v>
      </c>
      <c r="J6" s="4" t="s">
        <v>219</v>
      </c>
      <c r="K6" s="3" t="s">
        <v>220</v>
      </c>
      <c r="L6" s="3"/>
      <c r="M6" s="3"/>
      <c r="N6" s="3"/>
    </row>
    <row r="7" spans="1:14" ht="16.5" customHeight="1" x14ac:dyDescent="0.25">
      <c r="A7" s="30" t="s">
        <v>63</v>
      </c>
      <c r="B7" s="1"/>
      <c r="C7" s="155">
        <f>10*LOG10(C6)</f>
        <v>16.989700043360187</v>
      </c>
      <c r="D7" s="1" t="s">
        <v>59</v>
      </c>
      <c r="E7" s="53"/>
      <c r="F7" s="56" t="s">
        <v>50</v>
      </c>
      <c r="G7" s="34"/>
      <c r="I7" t="s">
        <v>257</v>
      </c>
      <c r="J7" s="4" t="s">
        <v>79</v>
      </c>
      <c r="K7" s="3" t="s">
        <v>78</v>
      </c>
      <c r="L7" s="3"/>
      <c r="M7" s="3"/>
      <c r="N7" s="3"/>
    </row>
    <row r="8" spans="1:14" ht="18.75" x14ac:dyDescent="0.35">
      <c r="A8" s="31" t="s">
        <v>269</v>
      </c>
      <c r="B8" s="1" t="s">
        <v>13</v>
      </c>
      <c r="C8" s="94">
        <v>9.1999999999999993</v>
      </c>
      <c r="D8" s="1" t="s">
        <v>71</v>
      </c>
      <c r="E8" s="53" t="s">
        <v>185</v>
      </c>
      <c r="F8" s="56" t="s">
        <v>190</v>
      </c>
      <c r="G8" s="56"/>
      <c r="H8" s="34"/>
      <c r="I8" t="s">
        <v>257</v>
      </c>
      <c r="J8" s="4" t="s">
        <v>162</v>
      </c>
      <c r="K8" s="218" t="s">
        <v>163</v>
      </c>
      <c r="L8" s="218"/>
      <c r="M8" s="218"/>
      <c r="N8" s="3"/>
    </row>
    <row r="9" spans="1:14" x14ac:dyDescent="0.2">
      <c r="A9" s="31" t="s">
        <v>16</v>
      </c>
      <c r="B9" s="32" t="s">
        <v>15</v>
      </c>
      <c r="C9" s="94">
        <v>-0.5</v>
      </c>
      <c r="D9" s="1" t="s">
        <v>8</v>
      </c>
      <c r="E9" s="1" t="s">
        <v>181</v>
      </c>
      <c r="F9" s="1" t="s">
        <v>12</v>
      </c>
      <c r="G9" s="91" t="s">
        <v>243</v>
      </c>
      <c r="H9" s="34"/>
      <c r="I9" t="s">
        <v>257</v>
      </c>
      <c r="J9" s="85"/>
      <c r="K9" s="108" t="s">
        <v>173</v>
      </c>
      <c r="L9" s="3"/>
      <c r="M9" s="3"/>
      <c r="N9" s="3"/>
    </row>
    <row r="10" spans="1:14" x14ac:dyDescent="0.2">
      <c r="A10" s="31" t="s">
        <v>282</v>
      </c>
      <c r="B10" s="35"/>
      <c r="C10" s="1">
        <v>-1.75</v>
      </c>
      <c r="D10" s="1" t="s">
        <v>8</v>
      </c>
      <c r="E10" s="1" t="s">
        <v>201</v>
      </c>
      <c r="F10" s="1" t="s">
        <v>51</v>
      </c>
      <c r="G10" s="1" t="s">
        <v>245</v>
      </c>
      <c r="I10" s="1" t="s">
        <v>257</v>
      </c>
      <c r="J10" s="93"/>
      <c r="K10" s="108" t="s">
        <v>187</v>
      </c>
      <c r="L10" s="3"/>
      <c r="M10" s="3"/>
      <c r="N10" s="3"/>
    </row>
    <row r="11" spans="1:14" x14ac:dyDescent="0.2">
      <c r="A11" s="98" t="s">
        <v>281</v>
      </c>
      <c r="B11" s="35"/>
      <c r="C11" s="1">
        <v>-0.5</v>
      </c>
      <c r="D11" s="1" t="s">
        <v>8</v>
      </c>
      <c r="E11" s="1" t="s">
        <v>305</v>
      </c>
      <c r="F11" s="1" t="s">
        <v>51</v>
      </c>
      <c r="J11" s="95"/>
      <c r="K11" s="57" t="s">
        <v>188</v>
      </c>
    </row>
    <row r="12" spans="1:14" x14ac:dyDescent="0.2">
      <c r="A12" s="37" t="s">
        <v>174</v>
      </c>
      <c r="B12" s="54" t="s">
        <v>118</v>
      </c>
      <c r="C12" s="161">
        <f>C7+C8+C10+C11</f>
        <v>23.939700043360187</v>
      </c>
      <c r="D12" s="38" t="s">
        <v>59</v>
      </c>
      <c r="E12" s="38" t="s">
        <v>112</v>
      </c>
      <c r="F12" s="96" t="s">
        <v>50</v>
      </c>
      <c r="G12" s="56" t="s">
        <v>116</v>
      </c>
      <c r="J12" s="1"/>
    </row>
    <row r="13" spans="1:14" x14ac:dyDescent="0.2">
      <c r="A13" s="7"/>
      <c r="B13" s="35"/>
      <c r="C13" s="1"/>
      <c r="D13" s="1"/>
      <c r="E13" s="1"/>
      <c r="F13" s="1"/>
      <c r="G13" s="6"/>
      <c r="J13" s="1"/>
    </row>
    <row r="14" spans="1:14" x14ac:dyDescent="0.2">
      <c r="A14" s="8" t="s">
        <v>68</v>
      </c>
      <c r="C14" s="157"/>
      <c r="J14" s="1"/>
    </row>
    <row r="15" spans="1:14" x14ac:dyDescent="0.2">
      <c r="A15" s="39" t="s">
        <v>6</v>
      </c>
      <c r="B15" s="40" t="s">
        <v>17</v>
      </c>
      <c r="C15" s="158">
        <f>-10*LOG10(((4*PI()*C16*1000)/C5)^2)</f>
        <v>-139.93861220057357</v>
      </c>
      <c r="D15" s="6" t="s">
        <v>8</v>
      </c>
      <c r="E15" s="6" t="s">
        <v>199</v>
      </c>
      <c r="F15" s="97" t="s">
        <v>50</v>
      </c>
      <c r="G15" s="47"/>
      <c r="H15" s="34"/>
      <c r="J15" s="1"/>
    </row>
    <row r="16" spans="1:14" x14ac:dyDescent="0.2">
      <c r="A16" s="7" t="s">
        <v>20</v>
      </c>
      <c r="B16" s="35" t="s">
        <v>18</v>
      </c>
      <c r="C16" s="1">
        <v>1623</v>
      </c>
      <c r="D16" s="1" t="s">
        <v>198</v>
      </c>
      <c r="E16" s="1" t="s">
        <v>224</v>
      </c>
      <c r="F16" s="56" t="s">
        <v>12</v>
      </c>
      <c r="G16" s="1" t="s">
        <v>223</v>
      </c>
    </row>
    <row r="17" spans="1:9" x14ac:dyDescent="0.2">
      <c r="A17" s="31" t="s">
        <v>183</v>
      </c>
      <c r="B17" s="35"/>
      <c r="C17" s="1">
        <f>SUM(C18:C19)</f>
        <v>-0.8</v>
      </c>
      <c r="D17" s="1" t="s">
        <v>8</v>
      </c>
      <c r="E17" s="1" t="s">
        <v>202</v>
      </c>
      <c r="F17" s="56" t="s">
        <v>50</v>
      </c>
      <c r="I17" s="1"/>
    </row>
    <row r="18" spans="1:9" x14ac:dyDescent="0.2">
      <c r="A18" s="7" t="s">
        <v>279</v>
      </c>
      <c r="B18" s="35"/>
      <c r="C18" s="1">
        <v>-0.3</v>
      </c>
      <c r="D18" s="1" t="s">
        <v>8</v>
      </c>
      <c r="E18" s="1" t="s">
        <v>301</v>
      </c>
      <c r="F18" s="1" t="s">
        <v>51</v>
      </c>
      <c r="I18" s="1"/>
    </row>
    <row r="19" spans="1:9" x14ac:dyDescent="0.2">
      <c r="A19" s="7" t="s">
        <v>280</v>
      </c>
      <c r="B19" s="35"/>
      <c r="C19" s="1">
        <v>-0.5</v>
      </c>
      <c r="D19" s="1" t="s">
        <v>8</v>
      </c>
      <c r="E19" s="1" t="s">
        <v>301</v>
      </c>
      <c r="F19" s="1" t="s">
        <v>51</v>
      </c>
      <c r="I19" s="1"/>
    </row>
    <row r="20" spans="1:9" s="107" customFormat="1" x14ac:dyDescent="0.2">
      <c r="A20" s="142" t="s">
        <v>7</v>
      </c>
      <c r="B20" s="143" t="s">
        <v>23</v>
      </c>
      <c r="C20" s="144">
        <v>-1</v>
      </c>
      <c r="D20" s="96" t="s">
        <v>8</v>
      </c>
      <c r="E20" s="96" t="s">
        <v>305</v>
      </c>
      <c r="F20" s="96" t="s">
        <v>12</v>
      </c>
      <c r="G20" s="96" t="s">
        <v>261</v>
      </c>
      <c r="H20" s="56"/>
    </row>
    <row r="22" spans="1:9" x14ac:dyDescent="0.2">
      <c r="A22" s="8" t="s">
        <v>62</v>
      </c>
    </row>
    <row r="23" spans="1:9" x14ac:dyDescent="0.2">
      <c r="A23" s="39" t="s">
        <v>22</v>
      </c>
      <c r="B23" s="40" t="s">
        <v>21</v>
      </c>
      <c r="C23" s="94">
        <f>-9.56</f>
        <v>-9.56</v>
      </c>
      <c r="D23" s="6" t="s">
        <v>8</v>
      </c>
      <c r="E23" s="97" t="s">
        <v>227</v>
      </c>
      <c r="F23" s="6" t="s">
        <v>12</v>
      </c>
      <c r="G23" s="6"/>
      <c r="H23" s="34"/>
    </row>
    <row r="24" spans="1:9" x14ac:dyDescent="0.2">
      <c r="A24" s="41" t="s">
        <v>276</v>
      </c>
      <c r="B24" s="35" t="s">
        <v>107</v>
      </c>
      <c r="C24" s="167">
        <f>C12+C9+C15+C20+C23</f>
        <v>-127.05891215721338</v>
      </c>
      <c r="D24" s="1" t="s">
        <v>59</v>
      </c>
      <c r="E24" s="1" t="s">
        <v>109</v>
      </c>
      <c r="F24" s="56" t="s">
        <v>50</v>
      </c>
      <c r="G24" s="34" t="s">
        <v>206</v>
      </c>
    </row>
    <row r="25" spans="1:9" x14ac:dyDescent="0.2">
      <c r="A25" s="31" t="s">
        <v>228</v>
      </c>
      <c r="B25" s="1" t="s">
        <v>24</v>
      </c>
      <c r="C25" s="94">
        <f>-0.4+1</f>
        <v>0.6</v>
      </c>
      <c r="D25" s="1" t="s">
        <v>180</v>
      </c>
      <c r="E25" s="1" t="s">
        <v>303</v>
      </c>
      <c r="F25" s="56" t="s">
        <v>50</v>
      </c>
      <c r="G25" s="34" t="s">
        <v>304</v>
      </c>
      <c r="H25" s="34"/>
    </row>
    <row r="26" spans="1:9" x14ac:dyDescent="0.2">
      <c r="A26" s="31" t="s">
        <v>132</v>
      </c>
      <c r="B26" s="1" t="s">
        <v>26</v>
      </c>
      <c r="C26" s="159">
        <f>C29+C33*C28+(1-C33)*C32</f>
        <v>607.17777777777781</v>
      </c>
      <c r="D26" s="1" t="s">
        <v>29</v>
      </c>
      <c r="E26" s="1" t="s">
        <v>133</v>
      </c>
      <c r="F26" s="34" t="s">
        <v>50</v>
      </c>
      <c r="G26" s="34"/>
      <c r="H26" s="34"/>
    </row>
    <row r="27" spans="1:9" x14ac:dyDescent="0.2">
      <c r="A27" s="36" t="s">
        <v>27</v>
      </c>
      <c r="B27" s="35" t="s">
        <v>28</v>
      </c>
      <c r="C27" s="1">
        <v>290</v>
      </c>
      <c r="D27" s="1" t="s">
        <v>29</v>
      </c>
      <c r="E27" s="1" t="s">
        <v>120</v>
      </c>
      <c r="F27" s="1" t="s">
        <v>51</v>
      </c>
    </row>
    <row r="28" spans="1:9" x14ac:dyDescent="0.2">
      <c r="A28" s="36" t="s">
        <v>160</v>
      </c>
      <c r="B28" s="35" t="s">
        <v>161</v>
      </c>
      <c r="C28" s="1">
        <v>265</v>
      </c>
      <c r="D28" s="1" t="s">
        <v>29</v>
      </c>
      <c r="E28" s="1" t="s">
        <v>200</v>
      </c>
      <c r="F28" s="1" t="s">
        <v>51</v>
      </c>
    </row>
    <row r="29" spans="1:9" x14ac:dyDescent="0.2">
      <c r="A29" s="36" t="s">
        <v>30</v>
      </c>
      <c r="B29" s="35" t="s">
        <v>31</v>
      </c>
      <c r="C29" s="160">
        <v>359.2</v>
      </c>
      <c r="D29" s="1" t="s">
        <v>29</v>
      </c>
      <c r="E29" s="1" t="s">
        <v>193</v>
      </c>
      <c r="F29" s="1" t="s">
        <v>60</v>
      </c>
    </row>
    <row r="30" spans="1:9" x14ac:dyDescent="0.2">
      <c r="A30" s="36" t="s">
        <v>32</v>
      </c>
      <c r="B30" s="35" t="s">
        <v>33</v>
      </c>
      <c r="C30" s="155">
        <f>1+(C29/C27)</f>
        <v>2.2386206896551721</v>
      </c>
      <c r="D30" s="1" t="s">
        <v>8</v>
      </c>
      <c r="E30" s="1" t="s">
        <v>34</v>
      </c>
      <c r="F30" s="56" t="s">
        <v>50</v>
      </c>
      <c r="G30" s="34"/>
      <c r="H30" s="34"/>
    </row>
    <row r="31" spans="1:9" x14ac:dyDescent="0.2">
      <c r="A31" s="89" t="s">
        <v>35</v>
      </c>
      <c r="B31" s="90" t="s">
        <v>36</v>
      </c>
      <c r="C31" s="91">
        <f>(C30-1)*C27</f>
        <v>359.19999999999993</v>
      </c>
      <c r="D31" s="91"/>
      <c r="E31" s="91" t="s">
        <v>34</v>
      </c>
      <c r="F31" s="91" t="s">
        <v>50</v>
      </c>
      <c r="G31" s="56"/>
      <c r="H31" s="34"/>
    </row>
    <row r="32" spans="1:9" x14ac:dyDescent="0.2">
      <c r="A32" s="92" t="s">
        <v>37</v>
      </c>
      <c r="B32" s="32" t="s">
        <v>38</v>
      </c>
      <c r="C32" s="160">
        <f>(1-C33)*C29</f>
        <v>239.4666666666667</v>
      </c>
      <c r="D32" s="1" t="s">
        <v>29</v>
      </c>
      <c r="E32" s="1" t="s">
        <v>43</v>
      </c>
      <c r="F32" s="56" t="s">
        <v>50</v>
      </c>
      <c r="G32" s="34"/>
      <c r="H32" s="34"/>
    </row>
    <row r="33" spans="1:10" x14ac:dyDescent="0.2">
      <c r="A33" s="36" t="s">
        <v>131</v>
      </c>
      <c r="B33" s="35" t="s">
        <v>130</v>
      </c>
      <c r="C33" s="155">
        <f>C34/C35</f>
        <v>0.33333333333333331</v>
      </c>
      <c r="D33" s="1"/>
      <c r="E33" s="1" t="s">
        <v>120</v>
      </c>
      <c r="F33" s="56" t="s">
        <v>50</v>
      </c>
      <c r="G33" s="34"/>
      <c r="H33" s="34"/>
    </row>
    <row r="34" spans="1:10" x14ac:dyDescent="0.2">
      <c r="A34" s="36" t="s">
        <v>39</v>
      </c>
      <c r="B34" s="35" t="s">
        <v>40</v>
      </c>
      <c r="C34" s="1">
        <v>1.5</v>
      </c>
      <c r="D34" s="1" t="s">
        <v>11</v>
      </c>
      <c r="E34" s="1" t="s">
        <v>229</v>
      </c>
      <c r="F34" s="56" t="s">
        <v>12</v>
      </c>
      <c r="G34" s="53" t="s">
        <v>231</v>
      </c>
    </row>
    <row r="35" spans="1:10" x14ac:dyDescent="0.2">
      <c r="A35" s="36" t="s">
        <v>41</v>
      </c>
      <c r="B35" s="35" t="s">
        <v>42</v>
      </c>
      <c r="C35" s="1">
        <v>4.5</v>
      </c>
      <c r="D35" s="1" t="s">
        <v>11</v>
      </c>
      <c r="E35" s="1" t="s">
        <v>230</v>
      </c>
      <c r="F35" s="56" t="s">
        <v>51</v>
      </c>
    </row>
    <row r="36" spans="1:10" x14ac:dyDescent="0.2">
      <c r="A36" s="42" t="s">
        <v>277</v>
      </c>
      <c r="B36" s="32" t="s">
        <v>108</v>
      </c>
      <c r="C36" s="145">
        <f>C25-(10*LOG(C26))</f>
        <v>-27.233158683467558</v>
      </c>
      <c r="D36" s="1" t="s">
        <v>76</v>
      </c>
      <c r="E36" s="1" t="s">
        <v>110</v>
      </c>
      <c r="F36" s="56" t="s">
        <v>50</v>
      </c>
    </row>
    <row r="37" spans="1:10" x14ac:dyDescent="0.2">
      <c r="A37" s="37" t="s">
        <v>176</v>
      </c>
      <c r="B37" s="54" t="s">
        <v>73</v>
      </c>
      <c r="C37" s="161">
        <f>C24+C36-(-228.6)</f>
        <v>74.307929159319059</v>
      </c>
      <c r="D37" s="38" t="s">
        <v>75</v>
      </c>
      <c r="E37" s="38" t="s">
        <v>111</v>
      </c>
      <c r="F37" s="56" t="s">
        <v>50</v>
      </c>
    </row>
    <row r="38" spans="1:10" x14ac:dyDescent="0.2">
      <c r="F38" s="6"/>
      <c r="G38" s="6"/>
    </row>
    <row r="40" spans="1:10" x14ac:dyDescent="0.2">
      <c r="A40" s="6" t="s">
        <v>45</v>
      </c>
      <c r="B40" s="6" t="s">
        <v>44</v>
      </c>
      <c r="C40" s="6">
        <v>9600</v>
      </c>
      <c r="D40" s="6"/>
      <c r="E40" s="6" t="s">
        <v>315</v>
      </c>
      <c r="F40" s="6" t="s">
        <v>51</v>
      </c>
      <c r="G40" s="6"/>
    </row>
    <row r="41" spans="1:10" x14ac:dyDescent="0.2">
      <c r="A41" s="84" t="s">
        <v>167</v>
      </c>
      <c r="C41" s="155">
        <f>10*LOG10(C40)</f>
        <v>39.822712330395682</v>
      </c>
      <c r="D41" s="1" t="s">
        <v>75</v>
      </c>
      <c r="E41" s="1"/>
      <c r="F41" s="1"/>
    </row>
    <row r="42" spans="1:10" s="151" customFormat="1" x14ac:dyDescent="0.2">
      <c r="A42" s="168" t="s">
        <v>264</v>
      </c>
      <c r="B42" s="169"/>
      <c r="C42" s="170">
        <v>17000</v>
      </c>
      <c r="D42" s="56" t="s">
        <v>265</v>
      </c>
      <c r="E42" s="150"/>
      <c r="F42" s="150"/>
      <c r="G42" s="150"/>
      <c r="H42" s="150"/>
      <c r="I42" s="150"/>
      <c r="J42" s="150"/>
    </row>
    <row r="43" spans="1:10" s="151" customFormat="1" x14ac:dyDescent="0.2">
      <c r="A43" s="168" t="s">
        <v>266</v>
      </c>
      <c r="B43" s="169" t="s">
        <v>267</v>
      </c>
      <c r="C43" s="147">
        <f>10*LOG10(C40/C42)</f>
        <v>-2.481776883387055</v>
      </c>
      <c r="D43" s="56" t="s">
        <v>8</v>
      </c>
      <c r="E43" s="150"/>
      <c r="F43" s="150"/>
      <c r="G43" s="150"/>
      <c r="H43" s="150"/>
      <c r="I43" s="150"/>
      <c r="J43" s="150"/>
    </row>
    <row r="44" spans="1:10" x14ac:dyDescent="0.2">
      <c r="A44" s="1" t="s">
        <v>49</v>
      </c>
      <c r="B44" s="1"/>
      <c r="C44" s="138">
        <f>10^-5</f>
        <v>1.0000000000000001E-5</v>
      </c>
      <c r="D44" s="1" t="s">
        <v>8</v>
      </c>
      <c r="E44" s="1" t="s">
        <v>194</v>
      </c>
      <c r="F44" s="1"/>
    </row>
    <row r="45" spans="1:10" x14ac:dyDescent="0.2">
      <c r="A45" s="43" t="s">
        <v>47</v>
      </c>
      <c r="B45" s="1"/>
      <c r="C45" s="149">
        <f>C7+C8+C9+C10+C23+C15+C20+C25+228.6-(10*LOG(C26))-C41+C43+C11</f>
        <v>32.003439945536307</v>
      </c>
      <c r="D45" s="1" t="s">
        <v>8</v>
      </c>
      <c r="E45" s="1" t="s">
        <v>207</v>
      </c>
      <c r="F45" s="1" t="s">
        <v>51</v>
      </c>
    </row>
    <row r="46" spans="1:10" x14ac:dyDescent="0.2">
      <c r="A46" s="43" t="s">
        <v>278</v>
      </c>
      <c r="B46" s="1"/>
      <c r="C46" s="149">
        <f>C37-C41+C43</f>
        <v>32.003439945536321</v>
      </c>
      <c r="D46" s="1" t="s">
        <v>8</v>
      </c>
      <c r="E46" s="1" t="s">
        <v>207</v>
      </c>
      <c r="F46" s="1" t="s">
        <v>50</v>
      </c>
    </row>
    <row r="47" spans="1:10" x14ac:dyDescent="0.2">
      <c r="A47" s="33" t="s">
        <v>262</v>
      </c>
      <c r="B47" s="1"/>
      <c r="C47" s="1">
        <f>18+2</f>
        <v>20</v>
      </c>
      <c r="D47" s="1" t="s">
        <v>8</v>
      </c>
      <c r="E47" s="1" t="s">
        <v>235</v>
      </c>
      <c r="F47" s="1" t="s">
        <v>51</v>
      </c>
      <c r="G47" s="1" t="s">
        <v>268</v>
      </c>
    </row>
    <row r="48" spans="1:10" x14ac:dyDescent="0.2">
      <c r="A48" s="44"/>
      <c r="B48" s="45"/>
      <c r="C48" s="45"/>
      <c r="D48" s="45"/>
      <c r="E48" s="45"/>
      <c r="F48" s="45"/>
      <c r="G48" s="6"/>
    </row>
    <row r="49" spans="1:8" x14ac:dyDescent="0.2">
      <c r="A49" s="46" t="s">
        <v>48</v>
      </c>
      <c r="B49" s="28"/>
      <c r="C49" s="162">
        <f>C46-C47</f>
        <v>12.003439945536321</v>
      </c>
      <c r="D49" s="28" t="s">
        <v>8</v>
      </c>
      <c r="E49" s="28"/>
      <c r="F49" s="28"/>
      <c r="G49" s="49"/>
      <c r="H49" s="26"/>
    </row>
    <row r="50" spans="1:8" x14ac:dyDescent="0.2">
      <c r="G50" s="6"/>
    </row>
    <row r="52" spans="1:8" x14ac:dyDescent="0.2">
      <c r="A52" s="217" t="s">
        <v>46</v>
      </c>
      <c r="B52" s="217"/>
      <c r="C52" s="217"/>
      <c r="D52" s="217"/>
      <c r="E52" s="217"/>
      <c r="F52" s="217"/>
      <c r="G52" s="48"/>
      <c r="H52" s="48"/>
    </row>
    <row r="60" spans="1:8" x14ac:dyDescent="0.2">
      <c r="B60" t="s">
        <v>121</v>
      </c>
      <c r="C60"/>
      <c r="D60"/>
      <c r="E60"/>
    </row>
    <row r="61" spans="1:8" x14ac:dyDescent="0.2">
      <c r="B61" t="s">
        <v>122</v>
      </c>
      <c r="C61"/>
      <c r="D61"/>
      <c r="E61"/>
    </row>
    <row r="62" spans="1:8" x14ac:dyDescent="0.2">
      <c r="B62" s="57" t="s">
        <v>123</v>
      </c>
      <c r="C62"/>
      <c r="D62"/>
      <c r="E62"/>
    </row>
    <row r="63" spans="1:8" x14ac:dyDescent="0.2">
      <c r="B63" t="s">
        <v>134</v>
      </c>
      <c r="C63"/>
      <c r="D63"/>
      <c r="E63"/>
    </row>
    <row r="64" spans="1:8" x14ac:dyDescent="0.2">
      <c r="B64" t="s">
        <v>124</v>
      </c>
      <c r="C64"/>
      <c r="D64"/>
      <c r="E64"/>
    </row>
    <row r="65" spans="2:5" x14ac:dyDescent="0.2">
      <c r="B65" t="s">
        <v>125</v>
      </c>
      <c r="C65"/>
      <c r="D65"/>
      <c r="E65"/>
    </row>
    <row r="66" spans="2:5" x14ac:dyDescent="0.2">
      <c r="B66"/>
      <c r="C66"/>
      <c r="D66"/>
      <c r="E66"/>
    </row>
    <row r="67" spans="2:5" x14ac:dyDescent="0.2">
      <c r="B67" t="s">
        <v>126</v>
      </c>
      <c r="C67"/>
      <c r="D67"/>
      <c r="E67"/>
    </row>
    <row r="68" spans="2:5" x14ac:dyDescent="0.2">
      <c r="B68" t="s">
        <v>127</v>
      </c>
      <c r="C68"/>
      <c r="D68"/>
      <c r="E68"/>
    </row>
    <row r="69" spans="2:5" x14ac:dyDescent="0.2">
      <c r="B69"/>
      <c r="C69"/>
      <c r="D69"/>
      <c r="E69"/>
    </row>
    <row r="70" spans="2:5" x14ac:dyDescent="0.2">
      <c r="B70" t="s">
        <v>128</v>
      </c>
      <c r="C70"/>
      <c r="D70"/>
      <c r="E70"/>
    </row>
    <row r="71" spans="2:5" x14ac:dyDescent="0.2">
      <c r="B71" t="s">
        <v>129</v>
      </c>
      <c r="C71"/>
      <c r="D71"/>
      <c r="E71"/>
    </row>
    <row r="72" spans="2:5" x14ac:dyDescent="0.2">
      <c r="B72"/>
      <c r="C72"/>
      <c r="D72"/>
      <c r="E72"/>
    </row>
  </sheetData>
  <mergeCells count="2">
    <mergeCell ref="K8:M8"/>
    <mergeCell ref="A52:F52"/>
  </mergeCells>
  <pageMargins left="0.7" right="0.7" top="0.75" bottom="0.75" header="0.3" footer="0.3"/>
  <pageSetup orientation="portrait" r:id="rId1"/>
  <ignoredErrors>
    <ignoredError sqref="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Page</vt:lpstr>
      <vt:lpstr>Revisions</vt:lpstr>
      <vt:lpstr>Post PSR Work</vt:lpstr>
      <vt:lpstr>Public Budgets</vt:lpstr>
      <vt:lpstr>Downlink (UHF)</vt:lpstr>
      <vt:lpstr>Uplink (VHF)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Frederick</dc:creator>
  <cp:lastModifiedBy>Microsoft Office User</cp:lastModifiedBy>
  <cp:lastPrinted>2018-04-17T22:48:37Z</cp:lastPrinted>
  <dcterms:created xsi:type="dcterms:W3CDTF">2016-02-23T02:33:01Z</dcterms:created>
  <dcterms:modified xsi:type="dcterms:W3CDTF">2018-08-03T18:25:16Z</dcterms:modified>
</cp:coreProperties>
</file>